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530CD5AD-817F-4853-9242-3E0E6EAF7A20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59" r:id="rId1"/>
    <sheet name="産業大分類" sheetId="5" r:id="rId2"/>
    <sheet name="産業中分類" sheetId="6" r:id="rId3"/>
    <sheet name="産業小分類" sheetId="7" r:id="rId4"/>
    <sheet name="兵庫県" sheetId="8" r:id="rId5"/>
    <sheet name="神戸市" sheetId="9" r:id="rId6"/>
    <sheet name="神戸市東灘区" sheetId="10" r:id="rId7"/>
    <sheet name="神戸市灘区" sheetId="11" r:id="rId8"/>
    <sheet name="神戸市兵庫区" sheetId="12" r:id="rId9"/>
    <sheet name="神戸市長田区" sheetId="13" r:id="rId10"/>
    <sheet name="神戸市須磨区" sheetId="14" r:id="rId11"/>
    <sheet name="神戸市垂水区" sheetId="15" r:id="rId12"/>
    <sheet name="神戸市北区" sheetId="16" r:id="rId13"/>
    <sheet name="神戸市中央区" sheetId="17" r:id="rId14"/>
    <sheet name="神戸市西区" sheetId="18" r:id="rId15"/>
    <sheet name="姫路市" sheetId="19" r:id="rId16"/>
    <sheet name="尼崎市" sheetId="20" r:id="rId17"/>
    <sheet name="明石市" sheetId="21" r:id="rId18"/>
    <sheet name="西宮市" sheetId="22" r:id="rId19"/>
    <sheet name="洲本市" sheetId="23" r:id="rId20"/>
    <sheet name="芦屋市" sheetId="24" r:id="rId21"/>
    <sheet name="伊丹市" sheetId="25" r:id="rId22"/>
    <sheet name="相生市" sheetId="26" r:id="rId23"/>
    <sheet name="豊岡市" sheetId="27" r:id="rId24"/>
    <sheet name="加古川市" sheetId="28" r:id="rId25"/>
    <sheet name="赤穂市" sheetId="29" r:id="rId26"/>
    <sheet name="西脇市" sheetId="30" r:id="rId27"/>
    <sheet name="宝塚市" sheetId="31" r:id="rId28"/>
    <sheet name="三木市" sheetId="32" r:id="rId29"/>
    <sheet name="高砂市" sheetId="33" r:id="rId30"/>
    <sheet name="川西市" sheetId="34" r:id="rId31"/>
    <sheet name="小野市" sheetId="35" r:id="rId32"/>
    <sheet name="三田市" sheetId="36" r:id="rId33"/>
    <sheet name="加西市" sheetId="37" r:id="rId34"/>
    <sheet name="丹波篠山市" sheetId="38" r:id="rId35"/>
    <sheet name="養父市" sheetId="39" r:id="rId36"/>
    <sheet name="丹波市" sheetId="40" r:id="rId37"/>
    <sheet name="南あわじ市" sheetId="41" r:id="rId38"/>
    <sheet name="朝来市" sheetId="42" r:id="rId39"/>
    <sheet name="淡路市" sheetId="43" r:id="rId40"/>
    <sheet name="宍粟市" sheetId="44" r:id="rId41"/>
    <sheet name="加東市" sheetId="45" r:id="rId42"/>
    <sheet name="たつの市" sheetId="46" r:id="rId43"/>
    <sheet name="川辺郡猪名川町" sheetId="47" r:id="rId44"/>
    <sheet name="多可郡多可町" sheetId="48" r:id="rId45"/>
    <sheet name="加古郡稲美町" sheetId="49" r:id="rId46"/>
    <sheet name="加古郡播磨町" sheetId="50" r:id="rId47"/>
    <sheet name="神崎郡市川町" sheetId="51" r:id="rId48"/>
    <sheet name="神崎郡福崎町" sheetId="52" r:id="rId49"/>
    <sheet name="神崎郡神河町" sheetId="53" r:id="rId50"/>
    <sheet name="揖保郡太子町" sheetId="54" r:id="rId51"/>
    <sheet name="赤穂郡上郡町" sheetId="55" r:id="rId52"/>
    <sheet name="佐用郡佐用町" sheetId="56" r:id="rId53"/>
    <sheet name="美方郡香美町" sheetId="57" r:id="rId54"/>
    <sheet name="美方郡新温泉町" sheetId="58" r:id="rId5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09" r:id="rId56"/>
    <pivotCache cacheId="2210" r:id="rId57"/>
    <pivotCache cacheId="2211" r:id="rId5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58" l="1"/>
  <c r="G21" i="58"/>
  <c r="E21" i="58"/>
  <c r="I20" i="58"/>
  <c r="G20" i="58"/>
  <c r="E20" i="58"/>
  <c r="C20" i="58"/>
  <c r="I21" i="57"/>
  <c r="G21" i="57"/>
  <c r="E21" i="57"/>
  <c r="I20" i="57"/>
  <c r="G20" i="57"/>
  <c r="E20" i="57"/>
  <c r="C20" i="57"/>
  <c r="I21" i="56"/>
  <c r="G21" i="56"/>
  <c r="E21" i="56"/>
  <c r="I20" i="56"/>
  <c r="G20" i="56"/>
  <c r="E20" i="56"/>
  <c r="C20" i="56"/>
  <c r="I21" i="55"/>
  <c r="G21" i="55"/>
  <c r="E21" i="55"/>
  <c r="I20" i="55"/>
  <c r="G20" i="55"/>
  <c r="E20" i="55"/>
  <c r="C20" i="55"/>
  <c r="I21" i="54"/>
  <c r="G21" i="54"/>
  <c r="E21" i="54"/>
  <c r="I20" i="54"/>
  <c r="G20" i="54"/>
  <c r="E20" i="54"/>
  <c r="C20" i="54"/>
  <c r="I21" i="53"/>
  <c r="G21" i="53"/>
  <c r="E21" i="53"/>
  <c r="I20" i="53"/>
  <c r="G20" i="53"/>
  <c r="E20" i="53"/>
  <c r="C20" i="53"/>
  <c r="I21" i="52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<sst xmlns="http://schemas.openxmlformats.org/spreadsheetml/2006/main" count="7385" uniqueCount="321">
  <si>
    <t>28000 兵庫県</t>
  </si>
  <si>
    <t>28100 神戸市</t>
  </si>
  <si>
    <t>28101 神戸市東灘区</t>
  </si>
  <si>
    <t>28102 神戸市灘区</t>
  </si>
  <si>
    <t>28105 神戸市兵庫区</t>
  </si>
  <si>
    <t>28106 神戸市長田区</t>
  </si>
  <si>
    <t>28107 神戸市須磨区</t>
  </si>
  <si>
    <t>28108 神戸市垂水区</t>
  </si>
  <si>
    <t>28109 神戸市北区</t>
  </si>
  <si>
    <t>28110 神戸市中央区</t>
  </si>
  <si>
    <t>28111 神戸市西区</t>
  </si>
  <si>
    <t>28201 姫路市</t>
  </si>
  <si>
    <t>28202 尼崎市</t>
  </si>
  <si>
    <t>28203 明石市</t>
  </si>
  <si>
    <t>28204 西宮市</t>
  </si>
  <si>
    <t>28205 洲本市</t>
  </si>
  <si>
    <t>28206 芦屋市</t>
  </si>
  <si>
    <t>28207 伊丹市</t>
  </si>
  <si>
    <t>28208 相生市</t>
  </si>
  <si>
    <t>28209 豊岡市</t>
  </si>
  <si>
    <t>28210 加古川市</t>
  </si>
  <si>
    <t>28212 赤穂市</t>
  </si>
  <si>
    <t>28213 西脇市</t>
  </si>
  <si>
    <t>28214 宝塚市</t>
  </si>
  <si>
    <t>28215 三木市</t>
  </si>
  <si>
    <t>28216 高砂市</t>
  </si>
  <si>
    <t>28217 川西市</t>
  </si>
  <si>
    <t>28218 小野市</t>
  </si>
  <si>
    <t>28219 三田市</t>
  </si>
  <si>
    <t>28220 加西市</t>
  </si>
  <si>
    <t>28221 丹波篠山市</t>
  </si>
  <si>
    <t>28222 養父市</t>
  </si>
  <si>
    <t>28223 丹波市</t>
  </si>
  <si>
    <t>28224 南あわじ市</t>
  </si>
  <si>
    <t>28225 朝来市</t>
  </si>
  <si>
    <t>28226 淡路市</t>
  </si>
  <si>
    <t>28227 宍粟市</t>
  </si>
  <si>
    <t>28228 加東市</t>
  </si>
  <si>
    <t>28229 たつの市</t>
  </si>
  <si>
    <t>28301 川辺郡猪名川町</t>
  </si>
  <si>
    <t>28365 多可郡多可町</t>
  </si>
  <si>
    <t>28381 加古郡稲美町</t>
  </si>
  <si>
    <t>28382 加古郡播磨町</t>
  </si>
  <si>
    <t>28442 神崎郡市川町</t>
  </si>
  <si>
    <t>28443 神崎郡福崎町</t>
  </si>
  <si>
    <t>28446 神崎郡神河町</t>
  </si>
  <si>
    <t>28464 揖保郡太子町</t>
  </si>
  <si>
    <t>28481 赤穂郡上郡町</t>
  </si>
  <si>
    <t>28501 佐用郡佐用町</t>
  </si>
  <si>
    <t>28585 美方郡香美町</t>
  </si>
  <si>
    <t>28586 美方郡新温泉町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</si>
  <si>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</si>
  <si>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</si>
  <si>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</si>
  <si>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</si>
  <si>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</si>
  <si>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</si>
  <si>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</si>
  <si>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</si>
  <si>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</si>
  <si>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</si>
  <si>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</si>
  <si>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</si>
  <si>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</si>
  <si>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</si>
  <si>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</si>
  <si>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</si>
  <si>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</si>
  <si>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</si>
  <si>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</si>
  <si>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</si>
  <si>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</si>
  <si>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</si>
  <si>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</si>
  <si>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</si>
  <si>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</si>
  <si>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</si>
  <si>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</si>
  <si>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</si>
  <si>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</si>
  <si>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</si>
  <si>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</si>
  <si>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</si>
  <si>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</si>
  <si>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</si>
  <si>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</si>
  <si>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</si>
  <si>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</si>
  <si>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</si>
  <si>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</si>
  <si>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</si>
  <si>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</si>
  <si>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</si>
  <si>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</si>
  <si>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92 その他の事業サービス業</t>
  </si>
  <si>
    <t>52 飲食料品卸売業</t>
  </si>
  <si>
    <t>15 印刷・同関連業</t>
  </si>
  <si>
    <t>53 建築材料，鉱物・金属材料等卸売業</t>
  </si>
  <si>
    <t>19 ゴム製品製造業</t>
  </si>
  <si>
    <t>20 なめし革・同製品・毛皮製造業</t>
  </si>
  <si>
    <t>26 生産用機械器具製造業</t>
  </si>
  <si>
    <t>61 無店舗小売業</t>
  </si>
  <si>
    <t>67 保険業（保険媒介代理業，保険サービス業を含む）</t>
  </si>
  <si>
    <t>51 繊維・衣服等卸売業</t>
  </si>
  <si>
    <t>89 自動車整備業</t>
  </si>
  <si>
    <t>75 宿泊業</t>
  </si>
  <si>
    <t>77 持ち帰り・配達飲食サービス業</t>
  </si>
  <si>
    <t>80 娯楽業</t>
  </si>
  <si>
    <t>09 食料品製造業</t>
  </si>
  <si>
    <t>48 運輸に附帯するサービス業</t>
  </si>
  <si>
    <t>11 繊維工業</t>
  </si>
  <si>
    <t>32 その他の製造業</t>
  </si>
  <si>
    <t>12 木材・木製品製造業（家具を除く）</t>
  </si>
  <si>
    <t>18 プラスチック製品製造業（別掲を除く）</t>
  </si>
  <si>
    <t>25 はん用機械器具製造業</t>
  </si>
  <si>
    <t>31 輸送用機械器具製造業</t>
  </si>
  <si>
    <t>21 窯業・土石製品製造業</t>
  </si>
  <si>
    <t>13 家具・装備品製造業</t>
  </si>
  <si>
    <t>88 廃棄物処理業</t>
  </si>
  <si>
    <t>22 鉄鋼業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</si>
  <si>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</si>
  <si>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</si>
  <si>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</si>
  <si>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</si>
  <si>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</si>
  <si>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</si>
  <si>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</si>
  <si>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</si>
  <si>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</si>
  <si>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</si>
  <si>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682 不動産代理業・仲介業</t>
  </si>
  <si>
    <t>691 不動産賃貸業（貸家業，貸間業を除く）</t>
  </si>
  <si>
    <t>692 貸家業，貸間業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</si>
  <si>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</si>
  <si>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</si>
  <si>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</si>
  <si>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</si>
  <si>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</si>
  <si>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</si>
  <si>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823 学習塾</t>
  </si>
  <si>
    <t>824 教養・技能教授業</t>
  </si>
  <si>
    <t>835 療術業</t>
  </si>
  <si>
    <t>693 駐車場業</t>
  </si>
  <si>
    <t>694 不動産管理業</t>
  </si>
  <si>
    <t>742 土木建築サービス業</t>
  </si>
  <si>
    <t>769 その他の飲食店</t>
  </si>
  <si>
    <t>781 洗濯業</t>
  </si>
  <si>
    <t>728 経営コンサルタント業，純粋持株会社</t>
  </si>
  <si>
    <t>729 その他の専門サービス業</t>
  </si>
  <si>
    <t>929 他に分類されない事業サービス業</t>
  </si>
  <si>
    <t>066 建築リフォーム工事業</t>
  </si>
  <si>
    <t>586 菓子・パン小売業</t>
  </si>
  <si>
    <t>151 印刷業</t>
  </si>
  <si>
    <t>521 農畜産物・水産物卸売業</t>
  </si>
  <si>
    <t>585 酒小売業</t>
  </si>
  <si>
    <t>192 ゴム製・プラスチック製履物・同附属品製造業</t>
  </si>
  <si>
    <t>203 革製履物用材料・同附属品製造業</t>
  </si>
  <si>
    <t>204 革製履物製造業</t>
  </si>
  <si>
    <t>269 その他の生産用機械・同部分品製造業</t>
  </si>
  <si>
    <t>083 管工事業（さく井工事業を除く）</t>
  </si>
  <si>
    <t>559 他に分類されない卸売業</t>
  </si>
  <si>
    <t>579 その他の織物・衣服・身の回り品小売業</t>
  </si>
  <si>
    <t>721 法律事務所，特許事務所</t>
  </si>
  <si>
    <t>724 公認会計士事務所，税理士事務所</t>
  </si>
  <si>
    <t>244 建設用・建築用金属製品製造業（製缶板金業を含む）</t>
  </si>
  <si>
    <t>891 自動車整備業</t>
  </si>
  <si>
    <t>789 その他の洗濯・理容・美容・浴場業</t>
  </si>
  <si>
    <t>833 歯科診療所</t>
  </si>
  <si>
    <t>084 機械器具設置工事業</t>
  </si>
  <si>
    <t>065 木造建築工事業</t>
  </si>
  <si>
    <t>206 かばん製造業</t>
  </si>
  <si>
    <t>751 旅館，ホテル</t>
  </si>
  <si>
    <t>605 燃料小売業</t>
  </si>
  <si>
    <t>112 織物業</t>
  </si>
  <si>
    <t>115 綱・網・レース・繊維粗製品製造業</t>
  </si>
  <si>
    <t>119 その他の繊維製品製造業</t>
  </si>
  <si>
    <t>593 機械器具小売業（自動車，自転車を除く）</t>
  </si>
  <si>
    <t>611 通信販売・訪問販売小売業</t>
  </si>
  <si>
    <t>242 洋食器・刃物・手道具・金物類製造業</t>
  </si>
  <si>
    <t>326 ペン・鉛筆・絵画用品・その他の事務用品製造業</t>
  </si>
  <si>
    <t>722 公証人役場，司法書士事務所，土地家屋調査士事務所</t>
  </si>
  <si>
    <t>183 工業用プラスチック製品製造業</t>
  </si>
  <si>
    <t>245 金属素形材製品製造業</t>
  </si>
  <si>
    <t>253 一般産業用機械・装置製造業</t>
  </si>
  <si>
    <t>311 自動車・同附属品製造業</t>
  </si>
  <si>
    <t>075 左官工事業</t>
  </si>
  <si>
    <t>079 その他の職別工事業</t>
  </si>
  <si>
    <t>214 陶磁器・同関連製品製造業</t>
  </si>
  <si>
    <t>601 家具・建具・畳小売業</t>
  </si>
  <si>
    <t>602 じゅう器小売業</t>
  </si>
  <si>
    <t>071 大工工事業</t>
  </si>
  <si>
    <t>099 その他の食料品製造業</t>
  </si>
  <si>
    <t>213 建設用粘土製品製造業（陶磁器製を除く）</t>
  </si>
  <si>
    <t>531 建築材料卸売業</t>
  </si>
  <si>
    <t>092 水産食料品製造業</t>
  </si>
  <si>
    <t>329 他に分類されない製造業</t>
  </si>
  <si>
    <t>761 食堂，レストラン（専門料理店を除く）</t>
  </si>
  <si>
    <t>325 がん具・運動用具製造業</t>
  </si>
  <si>
    <t>571 呉服・服地・寝具小売業</t>
  </si>
  <si>
    <t>201 なめし革製造業</t>
  </si>
  <si>
    <t>853 児童福祉事業</t>
  </si>
  <si>
    <t>541 産業機械器具卸売業</t>
  </si>
  <si>
    <t>799 他に分類されない生活関連サービス業</t>
  </si>
  <si>
    <t>111 製糸業，紡績業，化学繊維・ねん糸等製造業</t>
  </si>
  <si>
    <t>229 その他の鉄鋼業</t>
  </si>
  <si>
    <t>681 建物売買業，土地売買業</t>
  </si>
  <si>
    <t>794 物品預り業</t>
  </si>
  <si>
    <t>121 製材業，木製品製造業</t>
  </si>
  <si>
    <t>821 社会教育</t>
  </si>
  <si>
    <t>763 そば・うどん店</t>
  </si>
  <si>
    <t>584 鮮魚小売業</t>
  </si>
  <si>
    <t>522 食料・飲料卸売業</t>
  </si>
  <si>
    <t>産業小分類</t>
  </si>
  <si>
    <t>28000　兵庫県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</si>
  <si>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</si>
  <si>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</si>
  <si>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</si>
  <si>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</si>
  <si>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</si>
  <si>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28100　神戸市</t>
  </si>
  <si>
    <t>28101　神戸市東灘区</t>
  </si>
  <si>
    <t>28102　神戸市灘区</t>
  </si>
  <si>
    <t>28105　神戸市兵庫区</t>
  </si>
  <si>
    <t>28106　神戸市長田区</t>
  </si>
  <si>
    <t>28107　神戸市須磨区</t>
  </si>
  <si>
    <t>28108　神戸市垂水区</t>
  </si>
  <si>
    <t>28109　神戸市北区</t>
  </si>
  <si>
    <t>28110　神戸市中央区</t>
  </si>
  <si>
    <t>28111　神戸市西区</t>
  </si>
  <si>
    <t>28201　姫路市</t>
  </si>
  <si>
    <t>28202　尼崎市</t>
  </si>
  <si>
    <t>28203　明石市</t>
  </si>
  <si>
    <t>28204　西宮市</t>
  </si>
  <si>
    <t>28205　洲本市</t>
  </si>
  <si>
    <t>28206　芦屋市</t>
  </si>
  <si>
    <t>28207　伊丹市</t>
  </si>
  <si>
    <t>28208　相生市</t>
  </si>
  <si>
    <t>28209　豊岡市</t>
  </si>
  <si>
    <t>28210　加古川市</t>
  </si>
  <si>
    <t>28212　赤穂市</t>
  </si>
  <si>
    <t>28213　西脇市</t>
  </si>
  <si>
    <t>28214　宝塚市</t>
  </si>
  <si>
    <t>28215　三木市</t>
  </si>
  <si>
    <t>28216　高砂市</t>
  </si>
  <si>
    <t>28217　川西市</t>
  </si>
  <si>
    <t>28218　小野市</t>
  </si>
  <si>
    <t>28219　三田市</t>
  </si>
  <si>
    <t>28220　加西市</t>
  </si>
  <si>
    <t>28221　丹波篠山市</t>
  </si>
  <si>
    <t>28222　養父市</t>
  </si>
  <si>
    <t>28223　丹波市</t>
  </si>
  <si>
    <t>28224　南あわじ市</t>
  </si>
  <si>
    <t>28225　朝来市</t>
  </si>
  <si>
    <t>28226　淡路市</t>
  </si>
  <si>
    <t>28227　宍粟市</t>
  </si>
  <si>
    <t>28228　加東市</t>
  </si>
  <si>
    <t>28229　たつの市</t>
  </si>
  <si>
    <t>28301　川辺郡猪名川町</t>
  </si>
  <si>
    <t>28365　多可郡多可町</t>
  </si>
  <si>
    <t>28381　加古郡稲美町</t>
  </si>
  <si>
    <t>28382　加古郡播磨町</t>
  </si>
  <si>
    <t>28442　神崎郡市川町</t>
  </si>
  <si>
    <t>28443　神崎郡福崎町</t>
  </si>
  <si>
    <t>28446　神崎郡神河町</t>
  </si>
  <si>
    <t>28464　揖保郡太子町</t>
  </si>
  <si>
    <t>28481　赤穂郡上郡町</t>
  </si>
  <si>
    <t>28501　佐用郡佐用町</t>
  </si>
  <si>
    <t>28585　美方郡香美町</t>
  </si>
  <si>
    <t>28586　美方郡新温泉町</t>
  </si>
  <si>
    <t>兵庫県</t>
  </si>
  <si>
    <t>神戸市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</si>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</sst>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76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pivotCacheDefinition" Target="pivotCache/pivotCacheDefinition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9683449073" createdVersion="5" refreshedVersion="8" minRefreshableVersion="3" recordCount="765" xr:uid="{BF8DF5E5-B33C-4247-8BCE-D5D30CC0F148}">
  <cacheSource type="external" connectionId="1"/>
  <cacheFields count="11">
    <cacheField name="都道府県" numFmtId="0" sqlType="-9">
      <sharedItems count="1">
        <s v="28 兵庫県"/>
      </sharedItems>
    </cacheField>
    <cacheField name="自治体名" numFmtId="0" sqlType="-9">
      <sharedItems/>
    </cacheField>
    <cacheField name="自治体" numFmtId="0" sqlType="-9">
      <sharedItems count="51">
        <s v="28000 兵庫県"/>
        <s v="28100 神戸市"/>
        <s v="28101 神戸市東灘区"/>
        <s v="28102 神戸市灘区"/>
        <s v="28105 神戸市兵庫区"/>
        <s v="28106 神戸市長田区"/>
        <s v="28107 神戸市須磨区"/>
        <s v="28108 神戸市垂水区"/>
        <s v="28109 神戸市北区"/>
        <s v="28110 神戸市中央区"/>
        <s v="28111 神戸市西区"/>
        <s v="28201 姫路市"/>
        <s v="28202 尼崎市"/>
        <s v="28203 明石市"/>
        <s v="28204 西宮市"/>
        <s v="28205 洲本市"/>
        <s v="28206 芦屋市"/>
        <s v="28207 伊丹市"/>
        <s v="28208 相生市"/>
        <s v="28209 豊岡市"/>
        <s v="28210 加古川市"/>
        <s v="28212 赤穂市"/>
        <s v="28213 西脇市"/>
        <s v="28214 宝塚市"/>
        <s v="28215 三木市"/>
        <s v="28216 高砂市"/>
        <s v="28217 川西市"/>
        <s v="28218 小野市"/>
        <s v="28219 三田市"/>
        <s v="28220 加西市"/>
        <s v="28221 丹波篠山市"/>
        <s v="28222 養父市"/>
        <s v="28223 丹波市"/>
        <s v="28224 南あわじ市"/>
        <s v="28225 朝来市"/>
        <s v="28226 淡路市"/>
        <s v="28227 宍粟市"/>
        <s v="28228 加東市"/>
        <s v="28229 たつの市"/>
        <s v="28301 川辺郡猪名川町"/>
        <s v="28365 多可郡多可町"/>
        <s v="28381 加古郡稲美町"/>
        <s v="28382 加古郡播磨町"/>
        <s v="28442 神崎郡市川町"/>
        <s v="28443 神崎郡福崎町"/>
        <s v="28446 神崎郡神河町"/>
        <s v="28464 揖保郡太子町"/>
        <s v="28481 赤穂郡上郡町"/>
        <s v="28501 佐用郡佐用町"/>
        <s v="28585 美方郡香美町"/>
        <s v="28586 美方郡新温泉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26402"/>
    </cacheField>
    <cacheField name="構成比" numFmtId="0" sqlType="3">
      <sharedItems containsSemiMixedTypes="0" containsString="0" containsNumber="1" minValue="0" maxValue="33.520000000000003"/>
    </cacheField>
    <cacheField name="総数（個人）" numFmtId="0" sqlType="4">
      <sharedItems containsSemiMixedTypes="0" containsString="0" containsNumber="1" containsInteger="1" minValue="0" maxValue="13288"/>
    </cacheField>
    <cacheField name="構成比（個人）" numFmtId="0" sqlType="3">
      <sharedItems containsSemiMixedTypes="0" containsString="0" containsNumber="1" minValue="0" maxValue="40.729999999999997"/>
    </cacheField>
    <cacheField name="総数（法人）" numFmtId="0" sqlType="4">
      <sharedItems containsSemiMixedTypes="0" containsString="0" containsNumber="1" containsInteger="1" minValue="0" maxValue="13557"/>
    </cacheField>
    <cacheField name="構成比（法人）" numFmtId="0" sqlType="3">
      <sharedItems containsSemiMixedTypes="0" containsString="0" containsNumber="1" minValue="0" maxValue="42.79"/>
    </cacheField>
    <cacheField name="総数（法人以外の団体）" numFmtId="0" sqlType="4">
      <sharedItems containsSemiMixedTypes="0" containsString="0" containsNumber="1" containsInteger="1" minValue="0" maxValue="73" count="17">
        <n v="0"/>
        <n v="2"/>
        <n v="6"/>
        <n v="14"/>
        <n v="30"/>
        <n v="1"/>
        <n v="27"/>
        <n v="10"/>
        <n v="12"/>
        <n v="73"/>
        <n v="7"/>
        <n v="8"/>
        <n v="11"/>
        <n v="5"/>
        <n v="3"/>
        <n v="4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981064815" createdVersion="5" refreshedVersion="8" minRefreshableVersion="3" recordCount="1051" xr:uid="{B5E9EF98-8D7C-4098-A132-F51C07F217CB}">
  <cacheSource type="external" connectionId="2"/>
  <cacheFields count="14">
    <cacheField name="都道府県" numFmtId="0" sqlType="-9">
      <sharedItems count="1">
        <s v="28 兵庫県"/>
      </sharedItems>
    </cacheField>
    <cacheField name="自治体名" numFmtId="0" sqlType="-9">
      <sharedItems count="51">
        <s v="兵庫県"/>
        <s v="神戸市"/>
        <s v="神戸市東灘区"/>
        <s v="神戸市灘区"/>
        <s v="神戸市兵庫区"/>
        <s v="神戸市長田区"/>
        <s v="神戸市須磨区"/>
        <s v="神戸市垂水区"/>
        <s v="神戸市北区"/>
        <s v="神戸市中央区"/>
        <s v="神戸市西区"/>
        <s v="姫路市"/>
        <s v="尼崎市"/>
        <s v="明石市"/>
        <s v="西宮市"/>
        <s v="洲本市"/>
        <s v="芦屋市"/>
        <s v="伊丹市"/>
        <s v="相生市"/>
        <s v="豊岡市"/>
        <s v="加古川市"/>
        <s v="赤穂市"/>
        <s v="西脇市"/>
        <s v="宝塚市"/>
        <s v="三木市"/>
        <s v="高砂市"/>
        <s v="川西市"/>
        <s v="小野市"/>
        <s v="三田市"/>
        <s v="加西市"/>
        <s v="丹波篠山市"/>
        <s v="養父市"/>
        <s v="丹波市"/>
        <s v="南あわじ市"/>
        <s v="朝来市"/>
        <s v="淡路市"/>
        <s v="宍粟市"/>
        <s v="加東市"/>
        <s v="たつの市"/>
        <s v="川辺郡猪名川町"/>
        <s v="多可郡多可町"/>
        <s v="加古郡稲美町"/>
        <s v="加古郡播磨町"/>
        <s v="神崎郡市川町"/>
        <s v="神崎郡福崎町"/>
        <s v="神崎郡神河町"/>
        <s v="揖保郡太子町"/>
        <s v="赤穂郡上郡町"/>
        <s v="佐用郡佐用町"/>
        <s v="美方郡香美町"/>
        <s v="美方郡新温泉町"/>
      </sharedItems>
    </cacheField>
    <cacheField name="自治体" numFmtId="0" sqlType="-9">
      <sharedItems count="51">
        <s v="28000 兵庫県"/>
        <s v="28100 神戸市"/>
        <s v="28101 神戸市東灘区"/>
        <s v="28102 神戸市灘区"/>
        <s v="28105 神戸市兵庫区"/>
        <s v="28106 神戸市長田区"/>
        <s v="28107 神戸市須磨区"/>
        <s v="28108 神戸市垂水区"/>
        <s v="28109 神戸市北区"/>
        <s v="28110 神戸市中央区"/>
        <s v="28111 神戸市西区"/>
        <s v="28201 姫路市"/>
        <s v="28202 尼崎市"/>
        <s v="28203 明石市"/>
        <s v="28204 西宮市"/>
        <s v="28205 洲本市"/>
        <s v="28206 芦屋市"/>
        <s v="28207 伊丹市"/>
        <s v="28208 相生市"/>
        <s v="28209 豊岡市"/>
        <s v="28210 加古川市"/>
        <s v="28212 赤穂市"/>
        <s v="28213 西脇市"/>
        <s v="28214 宝塚市"/>
        <s v="28215 三木市"/>
        <s v="28216 高砂市"/>
        <s v="28217 川西市"/>
        <s v="28218 小野市"/>
        <s v="28219 三田市"/>
        <s v="28220 加西市"/>
        <s v="28221 丹波篠山市"/>
        <s v="28222 養父市"/>
        <s v="28223 丹波市"/>
        <s v="28224 南あわじ市"/>
        <s v="28225 朝来市"/>
        <s v="28226 淡路市"/>
        <s v="28227 宍粟市"/>
        <s v="28228 加東市"/>
        <s v="28229 たつの市"/>
        <s v="28301 川辺郡猪名川町"/>
        <s v="28365 多可郡多可町"/>
        <s v="28381 加古郡稲美町"/>
        <s v="28382 加古郡播磨町"/>
        <s v="28442 神崎郡市川町"/>
        <s v="28443 神崎郡福崎町"/>
        <s v="28446 神崎郡神河町"/>
        <s v="28464 揖保郡太子町"/>
        <s v="28481 赤穂郡上郡町"/>
        <s v="28501 佐用郡佐用町"/>
        <s v="28585 美方郡香美町"/>
        <s v="28586 美方郡新温泉町"/>
      </sharedItems>
    </cacheField>
    <cacheField name="産業分類コード" numFmtId="0" sqlType="-8">
      <sharedItems count="46">
        <s v="76"/>
        <s v="78"/>
        <s v="69"/>
        <s v="60"/>
        <s v="06"/>
        <s v="58"/>
        <s v="82"/>
        <s v="72"/>
        <s v="83"/>
        <s v="07"/>
        <s v="08"/>
        <s v="57"/>
        <s v="59"/>
        <s v="74"/>
        <s v="68"/>
        <s v="85"/>
        <s v="55"/>
        <s v="24"/>
        <s v="79"/>
        <s v="54"/>
        <s v="92"/>
        <s v="52"/>
        <s v="53"/>
        <s v="15"/>
        <s v="19"/>
        <s v="20"/>
        <s v="26"/>
        <s v="61"/>
        <s v="67"/>
        <s v="51"/>
        <s v="89"/>
        <s v="75"/>
        <s v="80"/>
        <s v="77"/>
        <s v="48"/>
        <s v="09"/>
        <s v="11"/>
        <s v="32"/>
        <s v="12"/>
        <s v="25"/>
        <s v="31"/>
        <s v="18"/>
        <s v="21"/>
        <s v="13"/>
        <s v="88"/>
        <s v="22"/>
      </sharedItems>
    </cacheField>
    <cacheField name="産業分類" numFmtId="0" sqlType="-9">
      <sharedItems count="46">
        <s v="飲食店"/>
        <s v="洗濯・理容・美容・浴場業"/>
        <s v="不動産賃貸業・管理業"/>
        <s v="その他の小売業"/>
        <s v="総合工事業"/>
        <s v="飲食料品小売業"/>
        <s v="その他の教育，学習支援業"/>
        <s v="専門サービス業（他に分類されないもの）"/>
        <s v="医療業"/>
        <s v="職別工事業（設備工事業を除く）"/>
        <s v="設備工事業"/>
        <s v="織物・衣服・身の回り品小売業"/>
        <s v="機械器具小売業"/>
        <s v="技術サービス業（他に分類されないもの）"/>
        <s v="不動産取引業"/>
        <s v="社会保険・社会福祉・介護事業"/>
        <s v="その他の卸売業"/>
        <s v="金属製品製造業"/>
        <s v="その他の生活関連サービス業"/>
        <s v="機械器具卸売業"/>
        <s v="その他の事業サービス業"/>
        <s v="飲食料品卸売業"/>
        <s v="建築材料，鉱物・金属材料等卸売業"/>
        <s v="印刷・同関連業"/>
        <s v="ゴム製品製造業"/>
        <s v="なめし革・同製品・毛皮製造業"/>
        <s v="生産用機械器具製造業"/>
        <s v="無店舗小売業"/>
        <s v="保険業（保険媒介代理業，保険サービス業を含む）"/>
        <s v="繊維・衣服等卸売業"/>
        <s v="自動車整備業"/>
        <s v="宿泊業"/>
        <s v="娯楽業"/>
        <s v="持ち帰り・配達飲食サービス業"/>
        <s v="運輸に附帯するサービス業"/>
        <s v="食料品製造業"/>
        <s v="繊維工業"/>
        <s v="その他の製造業"/>
        <s v="木材・木製品製造業（家具を除く）"/>
        <s v="はん用機械器具製造業"/>
        <s v="輸送用機械器具製造業"/>
        <s v="プラスチック製品製造業（別掲を除く）"/>
        <s v="窯業・土石製品製造業"/>
        <s v="家具・装備品製造業"/>
        <s v="廃棄物処理業"/>
        <s v="鉄鋼業"/>
      </sharedItems>
    </cacheField>
    <cacheField name="産業中分類" numFmtId="0" sqlType="-9">
      <sharedItems count="46">
        <s v="76 飲食店"/>
        <s v="78 洗濯・理容・美容・浴場業"/>
        <s v="69 不動産賃貸業・管理業"/>
        <s v="60 その他の小売業"/>
        <s v="06 総合工事業"/>
        <s v="58 飲食料品小売業"/>
        <s v="82 その他の教育，学習支援業"/>
        <s v="72 専門サービス業（他に分類されないもの）"/>
        <s v="83 医療業"/>
        <s v="07 職別工事業（設備工事業を除く）"/>
        <s v="08 設備工事業"/>
        <s v="57 織物・衣服・身の回り品小売業"/>
        <s v="59 機械器具小売業"/>
        <s v="74 技術サービス業（他に分類されないもの）"/>
        <s v="68 不動産取引業"/>
        <s v="85 社会保険・社会福祉・介護事業"/>
        <s v="55 その他の卸売業"/>
        <s v="24 金属製品製造業"/>
        <s v="79 その他の生活関連サービス業"/>
        <s v="54 機械器具卸売業"/>
        <s v="92 その他の事業サービス業"/>
        <s v="52 飲食料品卸売業"/>
        <s v="53 建築材料，鉱物・金属材料等卸売業"/>
        <s v="15 印刷・同関連業"/>
        <s v="19 ゴム製品製造業"/>
        <s v="20 なめし革・同製品・毛皮製造業"/>
        <s v="26 生産用機械器具製造業"/>
        <s v="61 無店舗小売業"/>
        <s v="67 保険業（保険媒介代理業，保険サービス業を含む）"/>
        <s v="51 繊維・衣服等卸売業"/>
        <s v="89 自動車整備業"/>
        <s v="75 宿泊業"/>
        <s v="80 娯楽業"/>
        <s v="77 持ち帰り・配達飲食サービス業"/>
        <s v="48 運輸に附帯するサービス業"/>
        <s v="09 食料品製造業"/>
        <s v="11 繊維工業"/>
        <s v="32 その他の製造業"/>
        <s v="12 木材・木製品製造業（家具を除く）"/>
        <s v="25 はん用機械器具製造業"/>
        <s v="31 輸送用機械器具製造業"/>
        <s v="18 プラスチック製品製造業（別掲を除く）"/>
        <s v="21 窯業・土石製品製造業"/>
        <s v="13 家具・装備品製造業"/>
        <s v="88 廃棄物処理業"/>
        <s v="22 鉄鋼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4" maxValue="13984" count="307">
        <n v="13984"/>
        <n v="10701"/>
        <n v="9152"/>
        <n v="7320"/>
        <n v="6501"/>
        <n v="5109"/>
        <n v="4955"/>
        <n v="4031"/>
        <n v="3957"/>
        <n v="3710"/>
        <n v="3621"/>
        <n v="3488"/>
        <n v="3275"/>
        <n v="2307"/>
        <n v="2225"/>
        <n v="1879"/>
        <n v="1585"/>
        <n v="1567"/>
        <n v="1560"/>
        <n v="1528"/>
        <n v="4925"/>
        <n v="3146"/>
        <n v="2687"/>
        <n v="1918"/>
        <n v="1646"/>
        <n v="1529"/>
        <n v="1275"/>
        <n v="1254"/>
        <n v="1252"/>
        <n v="1194"/>
        <n v="863"/>
        <n v="832"/>
        <n v="789"/>
        <n v="770"/>
        <n v="687"/>
        <n v="570"/>
        <n v="569"/>
        <n v="551"/>
        <n v="530"/>
        <n v="468"/>
        <n v="420"/>
        <n v="398"/>
        <n v="339"/>
        <n v="216"/>
        <n v="209"/>
        <n v="196"/>
        <n v="170"/>
        <n v="162"/>
        <n v="129"/>
        <n v="116"/>
        <n v="100"/>
        <n v="98"/>
        <n v="97"/>
        <n v="76"/>
        <n v="75"/>
        <n v="71"/>
        <n v="61"/>
        <n v="58"/>
        <n v="53"/>
        <n v="430"/>
        <n v="298"/>
        <n v="273"/>
        <n v="181"/>
        <n v="138"/>
        <n v="122"/>
        <n v="110"/>
        <n v="103"/>
        <n v="82"/>
        <n v="80"/>
        <n v="63"/>
        <n v="59"/>
        <n v="49"/>
        <n v="45"/>
        <n v="42"/>
        <n v="38"/>
        <n v="645"/>
        <n v="335"/>
        <n v="272"/>
        <n v="244"/>
        <n v="238"/>
        <n v="123"/>
        <n v="107"/>
        <n v="104"/>
        <n v="102"/>
        <n v="96"/>
        <n v="79"/>
        <n v="74"/>
        <n v="70"/>
        <n v="69"/>
        <n v="57"/>
        <n v="50"/>
        <n v="450"/>
        <n v="252"/>
        <n v="231"/>
        <n v="199"/>
        <n v="163"/>
        <n v="145"/>
        <n v="108"/>
        <n v="87"/>
        <n v="85"/>
        <n v="83"/>
        <n v="68"/>
        <n v="67"/>
        <n v="56"/>
        <n v="284"/>
        <n v="224"/>
        <n v="198"/>
        <n v="118"/>
        <n v="111"/>
        <n v="95"/>
        <n v="89"/>
        <n v="73"/>
        <n v="47"/>
        <n v="34"/>
        <n v="30"/>
        <n v="28"/>
        <n v="27"/>
        <n v="320"/>
        <n v="271"/>
        <n v="266"/>
        <n v="157"/>
        <n v="133"/>
        <n v="77"/>
        <n v="72"/>
        <n v="32"/>
        <n v="31"/>
        <n v="26"/>
        <n v="282"/>
        <n v="237"/>
        <n v="233"/>
        <n v="175"/>
        <n v="143"/>
        <n v="117"/>
        <n v="109"/>
        <n v="91"/>
        <n v="86"/>
        <n v="84"/>
        <n v="65"/>
        <n v="62"/>
        <n v="54"/>
        <n v="44"/>
        <n v="39"/>
        <n v="33"/>
        <n v="2068"/>
        <n v="915"/>
        <n v="858"/>
        <n v="602"/>
        <n v="573"/>
        <n v="529"/>
        <n v="278"/>
        <n v="267"/>
        <n v="249"/>
        <n v="245"/>
        <n v="222"/>
        <n v="219"/>
        <n v="207"/>
        <n v="197"/>
        <n v="142"/>
        <n v="141"/>
        <n v="137"/>
        <n v="319"/>
        <n v="218"/>
        <n v="139"/>
        <n v="130"/>
        <n v="125"/>
        <n v="88"/>
        <n v="78"/>
        <n v="64"/>
        <n v="1463"/>
        <n v="1258"/>
        <n v="838"/>
        <n v="821"/>
        <n v="820"/>
        <n v="639"/>
        <n v="508"/>
        <n v="453"/>
        <n v="422"/>
        <n v="402"/>
        <n v="397"/>
        <n v="392"/>
        <n v="368"/>
        <n v="289"/>
        <n v="188"/>
        <n v="179"/>
        <n v="165"/>
        <n v="156"/>
        <n v="1379"/>
        <n v="898"/>
        <n v="869"/>
        <n v="532"/>
        <n v="434"/>
        <n v="407"/>
        <n v="389"/>
        <n v="370"/>
        <n v="314"/>
        <n v="280"/>
        <n v="251"/>
        <n v="215"/>
        <n v="194"/>
        <n v="124"/>
        <n v="121"/>
        <n v="608"/>
        <n v="568"/>
        <n v="341"/>
        <n v="317"/>
        <n v="226"/>
        <n v="192"/>
        <n v="166"/>
        <n v="92"/>
        <n v="958"/>
        <n v="935"/>
        <n v="822"/>
        <n v="456"/>
        <n v="403"/>
        <n v="401"/>
        <n v="345"/>
        <n v="323"/>
        <n v="302"/>
        <n v="260"/>
        <n v="193"/>
        <n v="184"/>
        <n v="153"/>
        <n v="93"/>
        <n v="159"/>
        <n v="134"/>
        <n v="127"/>
        <n v="114"/>
        <n v="52"/>
        <n v="40"/>
        <n v="35"/>
        <n v="25"/>
        <n v="23"/>
        <n v="22"/>
        <n v="21"/>
        <n v="18"/>
        <n v="269"/>
        <n v="176"/>
        <n v="171"/>
        <n v="136"/>
        <n v="119"/>
        <n v="36"/>
        <n v="24"/>
        <n v="19"/>
        <n v="390"/>
        <n v="306"/>
        <n v="297"/>
        <n v="190"/>
        <n v="164"/>
        <n v="144"/>
        <n v="131"/>
        <n v="105"/>
        <n v="46"/>
        <n v="41"/>
        <n v="37"/>
        <n v="15"/>
        <n v="13"/>
        <n v="12"/>
        <n v="11"/>
        <n v="10"/>
        <n v="9"/>
        <n v="8"/>
        <n v="393"/>
        <n v="229"/>
        <n v="225"/>
        <n v="172"/>
        <n v="140"/>
        <n v="126"/>
        <n v="43"/>
        <n v="547"/>
        <n v="348"/>
        <n v="300"/>
        <n v="276"/>
        <n v="246"/>
        <n v="201"/>
        <n v="150"/>
        <n v="101"/>
        <n v="60"/>
        <n v="48"/>
        <n v="20"/>
        <n v="120"/>
        <n v="51"/>
        <n v="378"/>
        <n v="296"/>
        <n v="279"/>
        <n v="81"/>
        <n v="146"/>
        <n v="55"/>
        <n v="29"/>
        <n v="254"/>
        <n v="99"/>
        <n v="223"/>
        <n v="128"/>
        <n v="113"/>
        <n v="17"/>
        <n v="16"/>
        <n v="14"/>
        <n v="204"/>
        <n v="152"/>
        <n v="106"/>
        <n v="112"/>
        <n v="232"/>
        <n v="149"/>
        <n v="7"/>
        <n v="6"/>
        <n v="5"/>
        <n v="4"/>
        <n v="94"/>
      </sharedItems>
    </cacheField>
    <cacheField name="構成比" numFmtId="0" sqlType="3">
      <sharedItems containsSemiMixedTypes="0" containsString="0" containsNumber="1" minValue="0.81" maxValue="20.98" count="531">
        <n v="12.11"/>
        <n v="9.27"/>
        <n v="7.92"/>
        <n v="6.34"/>
        <n v="5.63"/>
        <n v="4.42"/>
        <n v="4.29"/>
        <n v="3.49"/>
        <n v="3.43"/>
        <n v="3.21"/>
        <n v="3.14"/>
        <n v="3.02"/>
        <n v="2.84"/>
        <n v="2"/>
        <n v="1.93"/>
        <n v="1.63"/>
        <n v="1.37"/>
        <n v="1.36"/>
        <n v="1.35"/>
        <n v="1.32"/>
        <n v="14.49"/>
        <n v="9.26"/>
        <n v="7.91"/>
        <n v="5.64"/>
        <n v="4.84"/>
        <n v="4.5"/>
        <n v="3.75"/>
        <n v="3.69"/>
        <n v="3.68"/>
        <n v="3.51"/>
        <n v="2.54"/>
        <n v="2.4500000000000002"/>
        <n v="2.3199999999999998"/>
        <n v="2.27"/>
        <n v="2.02"/>
        <n v="1.68"/>
        <n v="1.67"/>
        <n v="1.62"/>
        <n v="1.56"/>
        <n v="1.38"/>
        <n v="11.03"/>
        <n v="10.45"/>
        <n v="8.9"/>
        <n v="5.67"/>
        <n v="5.49"/>
        <n v="5.15"/>
        <n v="4.46"/>
        <n v="4.25"/>
        <n v="3.39"/>
        <n v="3.05"/>
        <n v="2.63"/>
        <n v="2.57"/>
        <n v="2.5499999999999998"/>
        <n v="1.97"/>
        <n v="1.86"/>
        <n v="1.6"/>
        <n v="1.52"/>
        <n v="1.39"/>
        <n v="14.77"/>
        <n v="10.23"/>
        <n v="9.3800000000000008"/>
        <n v="6.22"/>
        <n v="5.56"/>
        <n v="4.74"/>
        <n v="4.1900000000000004"/>
        <n v="3.78"/>
        <n v="3.54"/>
        <n v="3.33"/>
        <n v="2.82"/>
        <n v="2.75"/>
        <n v="2.16"/>
        <n v="2.0299999999999998"/>
        <n v="1.55"/>
        <n v="1.44"/>
        <n v="1.3"/>
        <n v="17.61"/>
        <n v="9.15"/>
        <n v="7.43"/>
        <n v="6.66"/>
        <n v="6.5"/>
        <n v="3.36"/>
        <n v="2.92"/>
        <n v="2.79"/>
        <n v="2.62"/>
        <n v="1.91"/>
        <n v="1.88"/>
        <n v="1.61"/>
        <n v="1.58"/>
        <n v="1.45"/>
        <n v="14.05"/>
        <n v="7.87"/>
        <n v="7.21"/>
        <n v="6.21"/>
        <n v="5.09"/>
        <n v="4.53"/>
        <n v="3.37"/>
        <n v="3.34"/>
        <n v="3.06"/>
        <n v="2.72"/>
        <n v="2.65"/>
        <n v="2.59"/>
        <n v="2.56"/>
        <n v="2.37"/>
        <n v="2.19"/>
        <n v="2.12"/>
        <n v="2.09"/>
        <n v="1.81"/>
        <n v="1.75"/>
        <n v="12.62"/>
        <n v="9.9600000000000009"/>
        <n v="8.8000000000000007"/>
        <n v="5.24"/>
        <n v="4.93"/>
        <n v="4.2699999999999996"/>
        <n v="4.22"/>
        <n v="3.96"/>
        <n v="3.24"/>
        <n v="3.07"/>
        <n v="2.98"/>
        <n v="2.5299999999999998"/>
        <n v="2.4900000000000002"/>
        <n v="1.51"/>
        <n v="1.33"/>
        <n v="1.24"/>
        <n v="1.2"/>
        <n v="12.46"/>
        <n v="10.55"/>
        <n v="10.36"/>
        <n v="6.11"/>
        <n v="5.18"/>
        <n v="4.28"/>
        <n v="3"/>
        <n v="2.8"/>
        <n v="1.95"/>
        <n v="1.25"/>
        <n v="1.21"/>
        <n v="1.05"/>
        <n v="1.01"/>
        <n v="10.61"/>
        <n v="8.92"/>
        <n v="8.77"/>
        <n v="6.58"/>
        <n v="6.09"/>
        <n v="5.38"/>
        <n v="4.4000000000000004"/>
        <n v="4.0999999999999996"/>
        <n v="3.61"/>
        <n v="3.42"/>
        <n v="3.16"/>
        <n v="2.67"/>
        <n v="2.33"/>
        <n v="1.66"/>
        <n v="1.47"/>
        <n v="20.98"/>
        <n v="9.2799999999999994"/>
        <n v="8.6999999999999993"/>
        <n v="5.81"/>
        <n v="5.37"/>
        <n v="2.71"/>
        <n v="2.25"/>
        <n v="2.2200000000000002"/>
        <n v="2.1"/>
        <n v="1.43"/>
        <n v="1.1000000000000001"/>
        <n v="1.0900000000000001"/>
        <n v="10.39"/>
        <n v="7.1"/>
        <n v="6.42"/>
        <n v="4.33"/>
        <n v="4.24"/>
        <n v="4.2"/>
        <n v="4.07"/>
        <n v="2.87"/>
        <n v="2.77"/>
        <n v="2.5099999999999998"/>
        <n v="2.44"/>
        <n v="2.41"/>
        <n v="2.35"/>
        <n v="2.2799999999999998"/>
        <n v="1.89"/>
        <n v="1.53"/>
        <n v="11.64"/>
        <n v="10.01"/>
        <n v="6.67"/>
        <n v="6.53"/>
        <n v="6.52"/>
        <n v="5.08"/>
        <n v="4.04"/>
        <n v="3.6"/>
        <n v="3.2"/>
        <n v="3.12"/>
        <n v="2.93"/>
        <n v="2.2999999999999998"/>
        <n v="1.98"/>
        <n v="1.5"/>
        <n v="1.42"/>
        <n v="1.31"/>
        <n v="14.35"/>
        <n v="9.34"/>
        <n v="9.0399999999999991"/>
        <n v="5.54"/>
        <n v="4.5199999999999996"/>
        <n v="4.2300000000000004"/>
        <n v="4.05"/>
        <n v="3.85"/>
        <n v="3.27"/>
        <n v="2.91"/>
        <n v="2.61"/>
        <n v="2.4700000000000002"/>
        <n v="2.42"/>
        <n v="2.2400000000000002"/>
        <n v="1.77"/>
        <n v="1.29"/>
        <n v="1.26"/>
        <n v="13.33"/>
        <n v="12.45"/>
        <n v="7.47"/>
        <n v="6.95"/>
        <n v="5.22"/>
        <n v="4.95"/>
        <n v="4.21"/>
        <n v="3.97"/>
        <n v="3.64"/>
        <n v="2.13"/>
        <n v="1.23"/>
        <n v="1.1599999999999999"/>
        <n v="12.43"/>
        <n v="12.13"/>
        <n v="10.67"/>
        <n v="5.92"/>
        <n v="5.23"/>
        <n v="5.2"/>
        <n v="4.4800000000000004"/>
        <n v="3.92"/>
        <n v="3.17"/>
        <n v="2.5"/>
        <n v="2.39"/>
        <n v="1.99"/>
        <n v="1.41"/>
        <n v="10.96"/>
        <n v="9.24"/>
        <n v="8.75"/>
        <n v="7.86"/>
        <n v="5.65"/>
        <n v="3.58"/>
        <n v="3.1"/>
        <n v="2.76"/>
        <n v="2.21"/>
        <n v="1.72"/>
        <n v="1.59"/>
        <n v="14.28"/>
        <n v="9.08"/>
        <n v="7.22"/>
        <n v="6.32"/>
        <n v="4.83"/>
        <n v="4.5599999999999996"/>
        <n v="4.51"/>
        <n v="3.77"/>
        <n v="2.97"/>
        <n v="1.27"/>
        <n v="1.17"/>
        <n v="1.1100000000000001"/>
        <n v="12.42"/>
        <n v="9.74"/>
        <n v="9.4600000000000009"/>
        <n v="6.05"/>
        <n v="4.58"/>
        <n v="4.3600000000000003"/>
        <n v="4.17"/>
        <n v="3.72"/>
        <n v="1.46"/>
        <n v="1.4"/>
        <n v="10.77"/>
        <n v="10.5"/>
        <n v="10.220000000000001"/>
        <n v="7.32"/>
        <n v="6.35"/>
        <n v="5.66"/>
        <n v="5.1100000000000003"/>
        <n v="3.59"/>
        <n v="3.04"/>
        <n v="2.0699999999999998"/>
        <n v="1.8"/>
        <n v="13.54"/>
        <n v="7.89"/>
        <n v="7.75"/>
        <n v="6.55"/>
        <n v="5.93"/>
        <n v="4.82"/>
        <n v="4.34"/>
        <n v="3.93"/>
        <n v="3.38"/>
        <n v="1.48"/>
        <n v="0.96"/>
        <n v="0.93"/>
        <n v="11.88"/>
        <n v="11.56"/>
        <n v="7.56"/>
        <n v="5.99"/>
        <n v="5.34"/>
        <n v="4.37"/>
        <n v="3.52"/>
        <n v="3.26"/>
        <n v="2.85"/>
        <n v="1.65"/>
        <n v="13.25"/>
        <n v="11.12"/>
        <n v="9.3000000000000007"/>
        <n v="6.17"/>
        <n v="5.86"/>
        <n v="4.8499999999999996"/>
        <n v="4.1500000000000004"/>
        <n v="3.84"/>
        <n v="3.03"/>
        <n v="2.73"/>
        <n v="0.91"/>
        <n v="11.81"/>
        <n v="9.0299999999999994"/>
        <n v="5.94"/>
        <n v="3.01"/>
        <n v="2.48"/>
        <n v="1.96"/>
        <n v="1.73"/>
        <n v="12.48"/>
        <n v="9.77"/>
        <n v="9.2100000000000009"/>
        <n v="6.2"/>
        <n v="5.45"/>
        <n v="4.72"/>
        <n v="4.13"/>
        <n v="2.34"/>
        <n v="1.49"/>
        <n v="10.84"/>
        <n v="9.4700000000000006"/>
        <n v="8.33"/>
        <n v="7.36"/>
        <n v="5.82"/>
        <n v="3.65"/>
        <n v="2.23"/>
        <n v="1.94"/>
        <n v="14.65"/>
        <n v="6.29"/>
        <n v="5.88"/>
        <n v="5.71"/>
        <n v="4.7300000000000004"/>
        <n v="2.31"/>
        <n v="10.93"/>
        <n v="10.28"/>
        <n v="6.27"/>
        <n v="5.9"/>
        <n v="5.58"/>
        <n v="4.01"/>
        <n v="3.83"/>
        <n v="3.41"/>
        <n v="2.9"/>
        <n v="2.58"/>
        <n v="9.57"/>
        <n v="9.14"/>
        <n v="7.28"/>
        <n v="6.94"/>
        <n v="6.1"/>
        <n v="3.9"/>
        <n v="3.13"/>
        <n v="2.88"/>
        <n v="2.2000000000000002"/>
        <n v="1.69"/>
        <n v="10.17"/>
        <n v="8.49"/>
        <n v="8.26"/>
        <n v="7.49"/>
        <n v="4.43"/>
        <n v="2.06"/>
        <n v="1.83"/>
        <n v="1.76"/>
        <n v="8.16"/>
        <n v="7.39"/>
        <n v="4.76"/>
        <n v="4.66"/>
        <n v="3.5"/>
        <n v="3.4"/>
        <n v="3.3"/>
        <n v="10.43"/>
        <n v="9.89"/>
        <n v="9.36"/>
        <n v="6.77"/>
        <n v="6.68"/>
        <n v="4.9000000000000004"/>
        <n v="4.8099999999999996"/>
        <n v="2.94"/>
        <n v="2.14"/>
        <n v="9.5299999999999994"/>
        <n v="8.11"/>
        <n v="6.54"/>
        <n v="6.12"/>
        <n v="4.9800000000000004"/>
        <n v="4.55"/>
        <n v="3.7"/>
        <n v="3.56"/>
        <n v="2.99"/>
        <n v="1.85"/>
        <n v="1.71"/>
        <n v="1.28"/>
        <n v="1.1399999999999999"/>
        <n v="10.94"/>
        <n v="9.23"/>
        <n v="6.81"/>
        <n v="4.08"/>
        <n v="3.86"/>
        <n v="3.22"/>
        <n v="2.52"/>
        <n v="2.36"/>
        <n v="1.34"/>
        <n v="9.66"/>
        <n v="8.7100000000000009"/>
        <n v="6.99"/>
        <n v="6.74"/>
        <n v="5.28"/>
        <n v="5.21"/>
        <n v="3.31"/>
        <n v="9.91"/>
        <n v="8.1"/>
        <n v="5.12"/>
        <n v="4.26"/>
        <n v="4.16"/>
        <n v="3.94"/>
        <n v="1.92"/>
        <n v="1.07"/>
        <n v="11.13"/>
        <n v="9.2200000000000006"/>
        <n v="8.5500000000000007"/>
        <n v="7.31"/>
        <n v="2.74"/>
        <n v="1.74"/>
        <n v="16.489999999999998"/>
        <n v="10.87"/>
        <n v="8.6"/>
        <n v="6.89"/>
        <n v="6.25"/>
        <n v="2.7"/>
        <n v="1"/>
        <n v="8.91"/>
        <n v="6.38"/>
        <n v="4.18"/>
        <n v="3.08"/>
        <n v="2.64"/>
        <n v="1.54"/>
        <n v="8.93"/>
        <n v="8.3000000000000007"/>
        <n v="7.78"/>
        <n v="6.06"/>
        <n v="5.33"/>
        <n v="4.8600000000000003"/>
        <n v="4.8"/>
        <n v="10.54"/>
        <n v="7.35"/>
        <n v="6.71"/>
        <n v="5.75"/>
        <n v="5.43"/>
        <n v="3.19"/>
        <n v="20.45"/>
        <n v="4.12"/>
        <n v="3.98"/>
        <n v="1.7"/>
        <n v="9.49"/>
        <n v="6.8"/>
        <n v="6.49"/>
        <n v="5.85"/>
        <n v="4.91"/>
        <n v="3.48"/>
        <n v="13.64"/>
        <n v="11.67"/>
        <n v="6.64"/>
        <n v="6.28"/>
        <n v="4.67"/>
        <n v="4.3099999999999996"/>
        <n v="3.95"/>
        <n v="3.23"/>
        <n v="12.71"/>
        <n v="8.0299999999999994"/>
        <n v="7.02"/>
        <n v="5.35"/>
        <n v="2.68"/>
        <n v="2.0099999999999998"/>
        <n v="11.18"/>
        <n v="8.24"/>
        <n v="7.84"/>
        <n v="7.06"/>
        <n v="6.86"/>
        <n v="1.57"/>
        <n v="1.18"/>
        <n v="13.29"/>
        <n v="11.85"/>
        <n v="8.67"/>
        <n v="6.07"/>
        <n v="3.76"/>
        <n v="3.18"/>
        <n v="8.23"/>
        <n v="7.96"/>
        <n v="5.8"/>
        <n v="5.26"/>
        <n v="2.29"/>
        <n v="1.08"/>
        <n v="9.9499999999999993"/>
        <n v="7.8"/>
        <n v="7.26"/>
        <n v="2.96"/>
        <n v="2.15"/>
        <n v="12.24"/>
        <n v="9.44"/>
        <n v="8.57"/>
        <n v="7.52"/>
        <n v="12.75"/>
        <n v="8.41"/>
        <n v="8.01"/>
        <n v="7.73"/>
        <n v="7.33"/>
        <n v="6.51"/>
        <n v="5.97"/>
        <n v="5.16"/>
        <n v="4.88"/>
        <n v="2.17"/>
        <n v="0.95"/>
        <n v="0.81"/>
        <n v="11.3"/>
        <n v="10.82"/>
        <n v="10.34"/>
        <n v="6.97"/>
        <n v="5.29"/>
        <n v="5.05"/>
        <n v="4.57"/>
        <n v="2.4"/>
      </sharedItems>
    </cacheField>
    <cacheField name="総数（個人）" numFmtId="0" sqlType="4">
      <sharedItems containsSemiMixedTypes="0" containsString="0" containsNumber="1" containsInteger="1" minValue="0" maxValue="12553" count="223">
        <n v="12553"/>
        <n v="8905"/>
        <n v="2728"/>
        <n v="3970"/>
        <n v="1638"/>
        <n v="3646"/>
        <n v="3313"/>
        <n v="2474"/>
        <n v="3466"/>
        <n v="1559"/>
        <n v="1023"/>
        <n v="1754"/>
        <n v="2042"/>
        <n v="942"/>
        <n v="375"/>
        <n v="31"/>
        <n v="363"/>
        <n v="639"/>
        <n v="704"/>
        <n v="179"/>
        <n v="4338"/>
        <n v="810"/>
        <n v="2168"/>
        <n v="930"/>
        <n v="980"/>
        <n v="991"/>
        <n v="176"/>
        <n v="547"/>
        <n v="821"/>
        <n v="1018"/>
        <n v="149"/>
        <n v="195"/>
        <n v="106"/>
        <n v="238"/>
        <n v="368"/>
        <n v="44"/>
        <n v="84"/>
        <n v="15"/>
        <n v="45"/>
        <n v="186"/>
        <n v="356"/>
        <n v="250"/>
        <n v="125"/>
        <n v="102"/>
        <n v="72"/>
        <n v="145"/>
        <n v="99"/>
        <n v="14"/>
        <n v="59"/>
        <n v="17"/>
        <n v="25"/>
        <n v="32"/>
        <n v="11"/>
        <n v="4"/>
        <n v="9"/>
        <n v="28"/>
        <n v="3"/>
        <n v="391"/>
        <n v="249"/>
        <n v="61"/>
        <n v="128"/>
        <n v="118"/>
        <n v="18"/>
        <n v="8"/>
        <n v="42"/>
        <n v="53"/>
        <n v="13"/>
        <n v="37"/>
        <n v="23"/>
        <n v="1"/>
        <n v="5"/>
        <n v="597"/>
        <n v="150"/>
        <n v="234"/>
        <n v="140"/>
        <n v="26"/>
        <n v="96"/>
        <n v="74"/>
        <n v="20"/>
        <n v="49"/>
        <n v="10"/>
        <n v="48"/>
        <n v="16"/>
        <n v="424"/>
        <n v="230"/>
        <n v="110"/>
        <n v="154"/>
        <n v="94"/>
        <n v="113"/>
        <n v="97"/>
        <n v="91"/>
        <n v="40"/>
        <n v="22"/>
        <n v="39"/>
        <n v="21"/>
        <n v="256"/>
        <n v="167"/>
        <n v="70"/>
        <n v="54"/>
        <n v="33"/>
        <n v="34"/>
        <n v="29"/>
        <n v="6"/>
        <n v="2"/>
        <n v="269"/>
        <n v="65"/>
        <n v="233"/>
        <n v="114"/>
        <n v="87"/>
        <n v="89"/>
        <n v="19"/>
        <n v="221"/>
        <n v="208"/>
        <n v="138"/>
        <n v="66"/>
        <n v="63"/>
        <n v="0"/>
        <n v="1769"/>
        <n v="627"/>
        <n v="192"/>
        <n v="245"/>
        <n v="205"/>
        <n v="395"/>
        <n v="155"/>
        <n v="219"/>
        <n v="122"/>
        <n v="7"/>
        <n v="50"/>
        <n v="79"/>
        <n v="153"/>
        <n v="55"/>
        <n v="104"/>
        <n v="68"/>
        <n v="24"/>
        <n v="1333"/>
        <n v="1050"/>
        <n v="175"/>
        <n v="292"/>
        <n v="468"/>
        <n v="415"/>
        <n v="361"/>
        <n v="111"/>
        <n v="279"/>
        <n v="360"/>
        <n v="198"/>
        <n v="144"/>
        <n v="120"/>
        <n v="141"/>
        <n v="1281"/>
        <n v="750"/>
        <n v="224"/>
        <n v="317"/>
        <n v="69"/>
        <n v="274"/>
        <n v="325"/>
        <n v="240"/>
        <n v="161"/>
        <n v="124"/>
        <n v="73"/>
        <n v="62"/>
        <n v="566"/>
        <n v="474"/>
        <n v="188"/>
        <n v="41"/>
        <n v="35"/>
        <n v="252"/>
        <n v="822"/>
        <n v="628"/>
        <n v="254"/>
        <n v="354"/>
        <n v="226"/>
        <n v="38"/>
        <n v="146"/>
        <n v="196"/>
        <n v="30"/>
        <n v="88"/>
        <n v="351"/>
        <n v="81"/>
        <n v="58"/>
        <n v="12"/>
        <n v="352"/>
        <n v="147"/>
        <n v="206"/>
        <n v="64"/>
        <n v="47"/>
        <n v="502"/>
        <n v="447"/>
        <n v="77"/>
        <n v="116"/>
        <n v="182"/>
        <n v="51"/>
        <n v="117"/>
        <n v="105"/>
        <n v="100"/>
        <n v="27"/>
        <n v="93"/>
        <n v="127"/>
        <n v="101"/>
        <n v="52"/>
        <n v="227"/>
        <n v="244"/>
        <n v="123"/>
        <n v="76"/>
        <n v="43"/>
        <n v="178"/>
        <n v="46"/>
        <n v="243"/>
        <n v="75"/>
        <n v="36"/>
        <n v="60"/>
        <n v="194"/>
        <n v="67"/>
        <n v="86"/>
        <n v="103"/>
        <n v="156"/>
        <n v="115"/>
        <n v="71"/>
        <n v="95"/>
        <n v="57"/>
        <n v="90"/>
        <n v="78"/>
        <n v="92"/>
        <n v="85"/>
      </sharedItems>
    </cacheField>
    <cacheField name="構成比（個人）" numFmtId="0" sqlType="3">
      <sharedItems containsSemiMixedTypes="0" containsString="0" containsNumber="1" minValue="0" maxValue="40.32" count="592">
        <n v="20.94"/>
        <n v="14.85"/>
        <n v="4.55"/>
        <n v="6.62"/>
        <n v="2.73"/>
        <n v="6.08"/>
        <n v="5.53"/>
        <n v="4.13"/>
        <n v="5.78"/>
        <n v="2.6"/>
        <n v="1.71"/>
        <n v="2.93"/>
        <n v="3.41"/>
        <n v="1.57"/>
        <n v="0.63"/>
        <n v="0.05"/>
        <n v="0.61"/>
        <n v="1.07"/>
        <n v="1.17"/>
        <n v="0.3"/>
        <n v="27.33"/>
        <n v="5.0999999999999996"/>
        <n v="13.66"/>
        <n v="5.86"/>
        <n v="6.17"/>
        <n v="6.24"/>
        <n v="1.1100000000000001"/>
        <n v="3.45"/>
        <n v="5.17"/>
        <n v="6.41"/>
        <n v="0.94"/>
        <n v="1.23"/>
        <n v="0.67"/>
        <n v="1.5"/>
        <n v="2.3199999999999998"/>
        <n v="0.28000000000000003"/>
        <n v="0.53"/>
        <n v="0.09"/>
        <n v="23.19"/>
        <n v="16.29"/>
        <n v="8.14"/>
        <n v="6.64"/>
        <n v="4.6900000000000004"/>
        <n v="9.4499999999999993"/>
        <n v="6.45"/>
        <n v="0.91"/>
        <n v="3.84"/>
        <n v="2.02"/>
        <n v="1.63"/>
        <n v="2.08"/>
        <n v="0.72"/>
        <n v="0.26"/>
        <n v="0.59"/>
        <n v="1.82"/>
        <n v="0.2"/>
        <n v="26.74"/>
        <n v="17.03"/>
        <n v="4.17"/>
        <n v="8.76"/>
        <n v="6.98"/>
        <n v="8.07"/>
        <n v="4.92"/>
        <n v="0.55000000000000004"/>
        <n v="0.96"/>
        <n v="2.87"/>
        <n v="3.63"/>
        <n v="0.89"/>
        <n v="2.5299999999999998"/>
        <n v="0.27"/>
        <n v="7.0000000000000007E-2"/>
        <n v="0.34"/>
        <n v="29.61"/>
        <n v="7.44"/>
        <n v="11.61"/>
        <n v="9.23"/>
        <n v="6.94"/>
        <n v="1.29"/>
        <n v="4.76"/>
        <n v="3.67"/>
        <n v="0.99"/>
        <n v="3.57"/>
        <n v="0.45"/>
        <n v="2.4300000000000002"/>
        <n v="0.5"/>
        <n v="2.38"/>
        <n v="0.69"/>
        <n v="1.1399999999999999"/>
        <n v="0.79"/>
        <n v="22.32"/>
        <n v="12.11"/>
        <n v="5.79"/>
        <n v="8.11"/>
        <n v="4.95"/>
        <n v="5.95"/>
        <n v="5.1100000000000003"/>
        <n v="4.79"/>
        <n v="1.95"/>
        <n v="2.11"/>
        <n v="0.84"/>
        <n v="1.1599999999999999"/>
        <n v="1.68"/>
        <n v="2.0499999999999998"/>
        <n v="0.57999999999999996"/>
        <n v="22.86"/>
        <n v="5.27"/>
        <n v="14.91"/>
        <n v="6.25"/>
        <n v="4.82"/>
        <n v="1.61"/>
        <n v="7.5"/>
        <n v="1.88"/>
        <n v="2.95"/>
        <n v="3.04"/>
        <n v="1.34"/>
        <n v="1.96"/>
        <n v="2.59"/>
        <n v="0.54"/>
        <n v="0.36"/>
        <n v="0.18"/>
        <n v="21.54"/>
        <n v="5.2"/>
        <n v="18.649999999999999"/>
        <n v="5.76"/>
        <n v="9.1300000000000008"/>
        <n v="1.36"/>
        <n v="6.97"/>
        <n v="3.52"/>
        <n v="7.13"/>
        <n v="1.28"/>
        <n v="3.36"/>
        <n v="0.08"/>
        <n v="1.52"/>
        <n v="1.44"/>
        <n v="0.24"/>
        <n v="0.48"/>
        <n v="19.04"/>
        <n v="4.22"/>
        <n v="17.920000000000002"/>
        <n v="11.89"/>
        <n v="2.41"/>
        <n v="5.68"/>
        <n v="8.7899999999999991"/>
        <n v="5.43"/>
        <n v="1.98"/>
        <n v="1.81"/>
        <n v="1.55"/>
        <n v="3.62"/>
        <n v="2.15"/>
        <n v="1.64"/>
        <n v="0.17"/>
        <n v="0.43"/>
        <n v="0"/>
        <n v="0.78"/>
        <n v="40.32"/>
        <n v="14.29"/>
        <n v="4.38"/>
        <n v="5.58"/>
        <n v="4.67"/>
        <n v="9"/>
        <n v="3.53"/>
        <n v="4.99"/>
        <n v="0.52"/>
        <n v="2.78"/>
        <n v="0.14000000000000001"/>
        <n v="0.16"/>
        <n v="0.41"/>
        <n v="0.32"/>
        <n v="7.57"/>
        <n v="3.16"/>
        <n v="14.66"/>
        <n v="2.0099999999999998"/>
        <n v="9.9600000000000009"/>
        <n v="8.0500000000000007"/>
        <n v="6.03"/>
        <n v="6.51"/>
        <n v="2.2999999999999998"/>
        <n v="2.2000000000000002"/>
        <n v="0.86"/>
        <n v="2.68"/>
        <n v="0.19"/>
        <n v="1.72"/>
        <n v="20.11"/>
        <n v="15.84"/>
        <n v="2.64"/>
        <n v="4.4000000000000004"/>
        <n v="7.06"/>
        <n v="6.26"/>
        <n v="5.44"/>
        <n v="1.67"/>
        <n v="4.21"/>
        <n v="4.0599999999999996"/>
        <n v="2.99"/>
        <n v="2.17"/>
        <n v="0.6"/>
        <n v="0.38"/>
        <n v="0.35"/>
        <n v="2.13"/>
        <n v="0.8"/>
        <n v="0.02"/>
        <n v="26.44"/>
        <n v="15.48"/>
        <n v="4.62"/>
        <n v="6.54"/>
        <n v="1.42"/>
        <n v="1.0900000000000001"/>
        <n v="5.66"/>
        <n v="1.8"/>
        <n v="6.71"/>
        <n v="3.32"/>
        <n v="2.56"/>
        <n v="1.51"/>
        <n v="1.01"/>
        <n v="1.03"/>
        <n v="22.74"/>
        <n v="2.4900000000000002"/>
        <n v="7.47"/>
        <n v="7.55"/>
        <n v="1.65"/>
        <n v="6.47"/>
        <n v="4.54"/>
        <n v="3.37"/>
        <n v="0.76"/>
        <n v="1.49"/>
        <n v="1.41"/>
        <n v="1.33"/>
        <n v="7.16"/>
        <n v="23.34"/>
        <n v="17.829999999999998"/>
        <n v="7.21"/>
        <n v="10.050000000000001"/>
        <n v="6.42"/>
        <n v="1.08"/>
        <n v="4.1500000000000004"/>
        <n v="5.57"/>
        <n v="3.21"/>
        <n v="0.68"/>
        <n v="0.85"/>
        <n v="2.5"/>
        <n v="0.82"/>
        <n v="1.53"/>
        <n v="0.56999999999999995"/>
        <n v="0.31"/>
        <n v="0.23"/>
        <n v="17.25"/>
        <n v="7.61"/>
        <n v="12.77"/>
        <n v="7.05"/>
        <n v="7.73"/>
        <n v="2.69"/>
        <n v="4.26"/>
        <n v="5.04"/>
        <n v="2.91"/>
        <n v="3.81"/>
        <n v="1.79"/>
        <n v="3.25"/>
        <n v="2.35"/>
        <n v="2.2400000000000002"/>
        <n v="18.71"/>
        <n v="6.43"/>
        <n v="7.75"/>
        <n v="6.58"/>
        <n v="4.97"/>
        <n v="0.73"/>
        <n v="2.92"/>
        <n v="0.44"/>
        <n v="1.46"/>
        <n v="0.88"/>
        <n v="0.28999999999999998"/>
        <n v="0.15"/>
        <n v="24.38"/>
        <n v="17.78"/>
        <n v="3.13"/>
        <n v="1.74"/>
        <n v="6.18"/>
        <n v="6.67"/>
        <n v="2.36"/>
        <n v="7.36"/>
        <n v="5.63"/>
        <n v="4.03"/>
        <n v="3.33"/>
        <n v="0.9"/>
        <n v="0.49"/>
        <n v="0.21"/>
        <n v="16.09"/>
        <n v="12.18"/>
        <n v="6.44"/>
        <n v="3.22"/>
        <n v="6.9"/>
        <n v="2.76"/>
        <n v="5.0599999999999996"/>
        <n v="1.38"/>
        <n v="1.84"/>
        <n v="2.0699999999999998"/>
        <n v="1.1499999999999999"/>
        <n v="18.22"/>
        <n v="10.66"/>
        <n v="4.71"/>
        <n v="4.09"/>
        <n v="5.75"/>
        <n v="3.26"/>
        <n v="3.31"/>
        <n v="2.74"/>
        <n v="1.45"/>
        <n v="1.66"/>
        <n v="19.829999999999998"/>
        <n v="17.66"/>
        <n v="7.35"/>
        <n v="4.58"/>
        <n v="7.19"/>
        <n v="5.73"/>
        <n v="3.95"/>
        <n v="1.62"/>
        <n v="1.19"/>
        <n v="0.4"/>
        <n v="20.53"/>
        <n v="17.02"/>
        <n v="8.77"/>
        <n v="5.26"/>
        <n v="5.96"/>
        <n v="6.84"/>
        <n v="4.3899999999999997"/>
        <n v="2.81"/>
        <n v="1.58"/>
        <n v="2.2799999999999998"/>
        <n v="2.46"/>
        <n v="0.7"/>
        <n v="1.4"/>
        <n v="11.8"/>
        <n v="16.12"/>
        <n v="12.82"/>
        <n v="6.6"/>
        <n v="3.17"/>
        <n v="4.1900000000000004"/>
        <n v="4.3099999999999996"/>
        <n v="3.43"/>
        <n v="1.9"/>
        <n v="3.3"/>
        <n v="1.27"/>
        <n v="1.78"/>
        <n v="16.98"/>
        <n v="18.25"/>
        <n v="3.14"/>
        <n v="7.18"/>
        <n v="8.83"/>
        <n v="9.1999999999999993"/>
        <n v="4.41"/>
        <n v="1.05"/>
        <n v="17.690000000000001"/>
        <n v="14.61"/>
        <n v="4.57"/>
        <n v="6.06"/>
        <n v="3.18"/>
        <n v="4.2699999999999996"/>
        <n v="3.78"/>
        <n v="4.7699999999999996"/>
        <n v="4.47"/>
        <n v="2.39"/>
        <n v="2.09"/>
        <n v="1.59"/>
        <n v="24.72"/>
        <n v="16.989999999999998"/>
        <n v="4.68"/>
        <n v="1.93"/>
        <n v="7.63"/>
        <n v="5.29"/>
        <n v="2.0299999999999998"/>
        <n v="2.44"/>
        <n v="3.66"/>
        <n v="4.07"/>
        <n v="1.32"/>
        <n v="1.02"/>
        <n v="0.81"/>
        <n v="1.22"/>
        <n v="18.059999999999999"/>
        <n v="18.64"/>
        <n v="7.11"/>
        <n v="2.4"/>
        <n v="7.3"/>
        <n v="5.09"/>
        <n v="1.25"/>
        <n v="1.54"/>
        <n v="0.1"/>
        <n v="0.77"/>
        <n v="11.86"/>
        <n v="14.27"/>
        <n v="10.31"/>
        <n v="6.78"/>
        <n v="4.66"/>
        <n v="4.24"/>
        <n v="2.82"/>
        <n v="2.54"/>
        <n v="1.1299999999999999"/>
        <n v="2.97"/>
        <n v="2.2599999999999998"/>
        <n v="18.57"/>
        <n v="15.81"/>
        <n v="10.11"/>
        <n v="7.72"/>
        <n v="0.92"/>
        <n v="5.59"/>
        <n v="13.1"/>
        <n v="5.97"/>
        <n v="3.85"/>
        <n v="7.71"/>
        <n v="5.39"/>
        <n v="3.08"/>
        <n v="2.7"/>
        <n v="2.89"/>
        <n v="1.73"/>
        <n v="2.12"/>
        <n v="14.78"/>
        <n v="10.47"/>
        <n v="6.31"/>
        <n v="9.33"/>
        <n v="8.32"/>
        <n v="4.59"/>
        <n v="5.16"/>
        <n v="4.0199999999999996"/>
        <n v="2.58"/>
        <n v="3.01"/>
        <n v="1"/>
        <n v="6.53"/>
        <n v="7.43"/>
        <n v="11.49"/>
        <n v="9.01"/>
        <n v="4.28"/>
        <n v="4.5"/>
        <n v="3.6"/>
        <n v="3.15"/>
        <n v="1.35"/>
        <n v="9.34"/>
        <n v="13.24"/>
        <n v="9.76"/>
        <n v="8.4"/>
        <n v="5.69"/>
        <n v="3.99"/>
        <n v="2.04"/>
        <n v="2.29"/>
        <n v="13.36"/>
        <n v="12.72"/>
        <n v="6.91"/>
        <n v="5.25"/>
        <n v="3.96"/>
        <n v="3.59"/>
        <n v="3.69"/>
        <n v="2.21"/>
        <n v="3.23"/>
        <n v="0.65"/>
        <n v="16.78"/>
        <n v="15.38"/>
        <n v="8.74"/>
        <n v="4.37"/>
        <n v="5.42"/>
        <n v="5.77"/>
        <n v="5.07"/>
        <n v="1.92"/>
        <n v="2.1"/>
        <n v="0.87"/>
        <n v="15.54"/>
        <n v="13.03"/>
        <n v="11.28"/>
        <n v="4.01"/>
        <n v="6.14"/>
        <n v="4.1399999999999997"/>
        <n v="2.88"/>
        <n v="1.75"/>
        <n v="2.63"/>
        <n v="11.82"/>
        <n v="6.27"/>
        <n v="7.09"/>
        <n v="7.91"/>
        <n v="3.49"/>
        <n v="5.24"/>
        <n v="4.83"/>
        <n v="2.06"/>
        <n v="3.29"/>
        <n v="16.53"/>
        <n v="13.39"/>
        <n v="7.32"/>
        <n v="4.5999999999999996"/>
        <n v="5.23"/>
        <n v="3.35"/>
        <n v="6.28"/>
        <n v="2.5099999999999998"/>
        <n v="4.18"/>
        <n v="1.26"/>
        <n v="13.19"/>
        <n v="4.5199999999999996"/>
        <n v="7.77"/>
        <n v="9.58"/>
        <n v="6.32"/>
        <n v="6.05"/>
        <n v="3.79"/>
        <n v="4.7"/>
        <n v="2.62"/>
        <n v="2.71"/>
        <n v="5.83"/>
        <n v="15.83"/>
        <n v="9.17"/>
        <n v="14.17"/>
        <n v="5"/>
        <n v="8.33"/>
        <n v="0.83"/>
        <n v="19.170000000000002"/>
        <n v="8.5399999999999991"/>
        <n v="10.42"/>
        <n v="7.29"/>
        <n v="1.04"/>
        <n v="4.3"/>
        <n v="13.26"/>
        <n v="13.98"/>
        <n v="5.0199999999999996"/>
        <n v="6.09"/>
        <n v="5.38"/>
        <n v="3.58"/>
        <n v="1.43"/>
        <n v="21.34"/>
        <n v="20.059999999999999"/>
        <n v="8.92"/>
        <n v="4.78"/>
        <n v="2.23"/>
        <n v="3.82"/>
        <n v="1.91"/>
        <n v="4.46"/>
        <n v="3.5"/>
        <n v="0.64"/>
        <n v="10.19"/>
        <n v="9.26"/>
        <n v="4.63"/>
        <n v="3.7"/>
        <n v="1.85"/>
        <n v="3.24"/>
        <n v="0.93"/>
        <n v="2.31"/>
        <n v="0.46"/>
        <n v="17.350000000000001"/>
        <n v="4.42"/>
        <n v="10.54"/>
        <n v="7.14"/>
        <n v="6.12"/>
        <n v="3.74"/>
        <n v="2.72"/>
        <n v="3.06"/>
        <n v="1.7"/>
        <n v="17.96"/>
        <n v="7.76"/>
        <n v="11.43"/>
        <n v="8.57"/>
        <n v="4.08"/>
        <n v="5.31"/>
        <n v="15.93"/>
        <n v="12.83"/>
        <n v="11.06"/>
        <n v="3.54"/>
        <n v="7.74"/>
        <n v="4.87"/>
        <n v="4.6500000000000004"/>
        <n v="3.76"/>
        <n v="3.98"/>
        <n v="2.65"/>
        <n v="0.66"/>
        <n v="12.3"/>
        <n v="12.7"/>
        <n v="6.15"/>
        <n v="4.51"/>
        <n v="5.74"/>
        <n v="13.7"/>
        <n v="12.66"/>
        <n v="9.82"/>
        <n v="4.91"/>
        <n v="5.94"/>
        <n v="2.84"/>
        <n v="15.95"/>
        <n v="9.3800000000000008"/>
        <n v="8.6300000000000008"/>
        <n v="3.75"/>
        <n v="7.88"/>
        <n v="4.32"/>
        <n v="6.38"/>
        <n v="3.19"/>
        <n v="0.56000000000000005"/>
        <n v="2.25"/>
        <n v="1.31"/>
        <n v="15.55"/>
        <n v="14.84"/>
        <n v="5.3"/>
        <n v="5.65"/>
        <n v="2.83"/>
        <n v="1.77"/>
        <n v="1.06"/>
        <n v="2.4700000000000002"/>
        <n v="0.71"/>
      </sharedItems>
    </cacheField>
    <cacheField name="総数（法人）" numFmtId="0" sqlType="4">
      <sharedItems containsSemiMixedTypes="0" containsString="0" containsNumber="1" containsInteger="1" minValue="0" maxValue="6393" count="211">
        <n v="1422"/>
        <n v="1796"/>
        <n v="6393"/>
        <n v="3339"/>
        <n v="4862"/>
        <n v="1451"/>
        <n v="1290"/>
        <n v="1549"/>
        <n v="487"/>
        <n v="2150"/>
        <n v="2598"/>
        <n v="1733"/>
        <n v="1233"/>
        <n v="1351"/>
        <n v="1850"/>
        <n v="1563"/>
        <n v="1217"/>
        <n v="928"/>
        <n v="830"/>
        <n v="1349"/>
        <n v="587"/>
        <n v="2329"/>
        <n v="519"/>
        <n v="985"/>
        <n v="660"/>
        <n v="536"/>
        <n v="1098"/>
        <n v="707"/>
        <n v="415"/>
        <n v="175"/>
        <n v="714"/>
        <n v="636"/>
        <n v="683"/>
        <n v="527"/>
        <n v="319"/>
        <n v="526"/>
        <n v="483"/>
        <n v="521"/>
        <n v="478"/>
        <n v="280"/>
        <n v="64"/>
        <n v="353"/>
        <n v="89"/>
        <n v="87"/>
        <n v="106"/>
        <n v="124"/>
        <n v="25"/>
        <n v="63"/>
        <n v="115"/>
        <n v="57"/>
        <n v="83"/>
        <n v="65"/>
        <n v="72"/>
        <n v="44"/>
        <n v="71"/>
        <n v="52"/>
        <n v="30"/>
        <n v="49"/>
        <n v="39"/>
        <n v="212"/>
        <n v="53"/>
        <n v="60"/>
        <n v="20"/>
        <n v="50"/>
        <n v="92"/>
        <n v="95"/>
        <n v="40"/>
        <n v="27"/>
        <n v="26"/>
        <n v="36"/>
        <n v="41"/>
        <n v="45"/>
        <n v="43"/>
        <n v="24"/>
        <n v="33"/>
        <n v="48"/>
        <n v="184"/>
        <n v="38"/>
        <n v="58"/>
        <n v="98"/>
        <n v="97"/>
        <n v="11"/>
        <n v="82"/>
        <n v="70"/>
        <n v="10"/>
        <n v="29"/>
        <n v="34"/>
        <n v="22"/>
        <n v="121"/>
        <n v="69"/>
        <n v="32"/>
        <n v="16"/>
        <n v="61"/>
        <n v="47"/>
        <n v="28"/>
        <n v="46"/>
        <n v="59"/>
        <n v="8"/>
        <n v="165"/>
        <n v="31"/>
        <n v="78"/>
        <n v="5"/>
        <n v="35"/>
        <n v="42"/>
        <n v="18"/>
        <n v="51"/>
        <n v="204"/>
        <n v="85"/>
        <n v="116"/>
        <n v="66"/>
        <n v="21"/>
        <n v="73"/>
        <n v="54"/>
        <n v="15"/>
        <n v="188"/>
        <n v="134"/>
        <n v="77"/>
        <n v="68"/>
        <n v="299"/>
        <n v="282"/>
        <n v="662"/>
        <n v="355"/>
        <n v="368"/>
        <n v="143"/>
        <n v="226"/>
        <n v="118"/>
        <n v="200"/>
        <n v="178"/>
        <n v="123"/>
        <n v="129"/>
        <n v="102"/>
        <n v="100"/>
        <n v="240"/>
        <n v="185"/>
        <n v="110"/>
        <n v="109"/>
        <n v="127"/>
        <n v="208"/>
        <n v="663"/>
        <n v="525"/>
        <n v="351"/>
        <n v="147"/>
        <n v="342"/>
        <n v="133"/>
        <n v="37"/>
        <n v="194"/>
        <n v="224"/>
        <n v="168"/>
        <n v="209"/>
        <n v="163"/>
        <n v="158"/>
        <n v="112"/>
        <n v="136"/>
        <n v="148"/>
        <n v="644"/>
        <n v="215"/>
        <n v="365"/>
        <n v="354"/>
        <n v="283"/>
        <n v="90"/>
        <n v="139"/>
        <n v="142"/>
        <n v="155"/>
        <n v="117"/>
        <n v="62"/>
        <n v="94"/>
        <n v="278"/>
        <n v="131"/>
        <n v="151"/>
        <n v="67"/>
        <n v="701"/>
        <n v="113"/>
        <n v="307"/>
        <n v="177"/>
        <n v="105"/>
        <n v="220"/>
        <n v="96"/>
        <n v="146"/>
        <n v="99"/>
        <n v="104"/>
        <n v="13"/>
        <n v="9"/>
        <n v="7"/>
        <n v="19"/>
        <n v="6"/>
        <n v="12"/>
        <n v="4"/>
        <n v="252"/>
        <n v="17"/>
        <n v="251"/>
        <n v="74"/>
        <n v="122"/>
        <n v="14"/>
        <n v="0"/>
        <n v="3"/>
        <n v="2"/>
        <n v="162"/>
        <n v="223"/>
        <n v="160"/>
        <n v="150"/>
        <n v="101"/>
        <n v="1"/>
        <n v="314"/>
        <n v="173"/>
        <n v="23"/>
        <n v="84"/>
        <n v="79"/>
        <n v="103"/>
        <n v="88"/>
        <n v="55"/>
        <n v="56"/>
      </sharedItems>
    </cacheField>
    <cacheField name="構成比（法人）" numFmtId="0" sqlType="3">
      <sharedItems containsSemiMixedTypes="0" containsString="0" containsNumber="1" minValue="0" maxValue="27.35" count="501">
        <n v="2.61"/>
        <n v="3.29"/>
        <n v="11.73"/>
        <n v="6.13"/>
        <n v="8.92"/>
        <n v="2.66"/>
        <n v="2.37"/>
        <n v="2.84"/>
        <n v="0.89"/>
        <n v="3.94"/>
        <n v="4.7699999999999996"/>
        <n v="3.18"/>
        <n v="2.2599999999999998"/>
        <n v="2.48"/>
        <n v="3.39"/>
        <n v="2.87"/>
        <n v="2.23"/>
        <n v="1.7"/>
        <n v="1.52"/>
        <n v="2.4700000000000002"/>
        <n v="3.26"/>
        <n v="12.94"/>
        <n v="2.88"/>
        <n v="5.47"/>
        <n v="3.67"/>
        <n v="2.98"/>
        <n v="6.1"/>
        <n v="3.93"/>
        <n v="2.2999999999999998"/>
        <n v="0.97"/>
        <n v="3.97"/>
        <n v="3.53"/>
        <n v="3.79"/>
        <n v="2.93"/>
        <n v="1.77"/>
        <n v="2.92"/>
        <n v="2.68"/>
        <n v="2.89"/>
        <n v="2.65"/>
        <n v="1.56"/>
        <n v="15.68"/>
        <n v="3.95"/>
        <n v="3.86"/>
        <n v="4.71"/>
        <n v="5.51"/>
        <n v="1.1100000000000001"/>
        <n v="2.8"/>
        <n v="5.1100000000000003"/>
        <n v="2.5299999999999998"/>
        <n v="3.69"/>
        <n v="3.2"/>
        <n v="1.95"/>
        <n v="3.15"/>
        <n v="2.31"/>
        <n v="1.33"/>
        <n v="2.1800000000000002"/>
        <n v="2.7"/>
        <n v="14.67"/>
        <n v="4.1500000000000004"/>
        <n v="1.38"/>
        <n v="3.46"/>
        <n v="6.37"/>
        <n v="6.57"/>
        <n v="5.74"/>
        <n v="2.77"/>
        <n v="1.87"/>
        <n v="1.8"/>
        <n v="2.4900000000000002"/>
        <n v="3.11"/>
        <n v="1.66"/>
        <n v="2.2799999999999998"/>
        <n v="11.23"/>
        <n v="2.3199999999999998"/>
        <n v="3.54"/>
        <n v="5.98"/>
        <n v="5.92"/>
        <n v="5.43"/>
        <n v="0.67"/>
        <n v="1.83"/>
        <n v="5.01"/>
        <n v="1.47"/>
        <n v="4.2699999999999996"/>
        <n v="1.53"/>
        <n v="3.66"/>
        <n v="0.61"/>
        <n v="2.69"/>
        <n v="2.38"/>
        <n v="2.08"/>
        <n v="2.0099999999999998"/>
        <n v="9.34"/>
        <n v="3.47"/>
        <n v="5.32"/>
        <n v="0.85"/>
        <n v="1.23"/>
        <n v="3.63"/>
        <n v="2.16"/>
        <n v="2.2400000000000002"/>
        <n v="3.55"/>
        <n v="4.55"/>
        <n v="0.62"/>
        <n v="14.64"/>
        <n v="2.75"/>
        <n v="4.26"/>
        <n v="5.0599999999999996"/>
        <n v="6.92"/>
        <n v="2.13"/>
        <n v="0.44"/>
        <n v="4.6100000000000003"/>
        <n v="3.73"/>
        <n v="3.02"/>
        <n v="1.6"/>
        <n v="0.71"/>
        <n v="2.2200000000000002"/>
        <n v="3.89"/>
        <n v="15.55"/>
        <n v="2.52"/>
        <n v="6.48"/>
        <n v="8.84"/>
        <n v="3.51"/>
        <n v="5.03"/>
        <n v="4.5"/>
        <n v="5.56"/>
        <n v="4.12"/>
        <n v="4.8"/>
        <n v="2.44"/>
        <n v="2.21"/>
        <n v="1.1399999999999999"/>
        <n v="1.98"/>
        <n v="4.0999999999999996"/>
        <n v="12.63"/>
        <n v="1.68"/>
        <n v="2.35"/>
        <n v="9.01"/>
        <n v="5.17"/>
        <n v="1.01"/>
        <n v="4.91"/>
        <n v="4.7"/>
        <n v="4.57"/>
        <n v="2.82"/>
        <n v="3.09"/>
        <n v="3.9"/>
        <n v="2.42"/>
        <n v="2.62"/>
        <n v="2.5499999999999998"/>
        <n v="1.61"/>
        <n v="1.81"/>
        <n v="5.5"/>
        <n v="5.19"/>
        <n v="12.18"/>
        <n v="6.53"/>
        <n v="6.77"/>
        <n v="2.63"/>
        <n v="0.86"/>
        <n v="4.16"/>
        <n v="2.17"/>
        <n v="3.68"/>
        <n v="3.28"/>
        <n v="1.69"/>
        <n v="1.88"/>
        <n v="1.84"/>
        <n v="11.92"/>
        <n v="9.19"/>
        <n v="5.46"/>
        <n v="3.87"/>
        <n v="5.41"/>
        <n v="1.24"/>
        <n v="2.04"/>
        <n v="0.99"/>
        <n v="1.74"/>
        <n v="1.34"/>
        <n v="3.23"/>
        <n v="3.13"/>
        <n v="2.09"/>
        <n v="3.03"/>
        <n v="1.39"/>
        <n v="3.58"/>
        <n v="11.4"/>
        <n v="9.0299999999999994"/>
        <n v="6.04"/>
        <n v="2.46"/>
        <n v="5.88"/>
        <n v="2.29"/>
        <n v="0.64"/>
        <n v="3.34"/>
        <n v="3.85"/>
        <n v="3.59"/>
        <n v="2.72"/>
        <n v="0.65"/>
        <n v="1.93"/>
        <n v="2.34"/>
        <n v="13.83"/>
        <n v="4.62"/>
        <n v="7.84"/>
        <n v="7.6"/>
        <n v="6.08"/>
        <n v="1.55"/>
        <n v="3.05"/>
        <n v="3.33"/>
        <n v="2.6"/>
        <n v="2.5099999999999998"/>
        <n v="1.5"/>
        <n v="2.0499999999999998"/>
        <n v="4.5999999999999996"/>
        <n v="13.6"/>
        <n v="6.41"/>
        <n v="2.4"/>
        <n v="7.39"/>
        <n v="0.98"/>
        <n v="2.59"/>
        <n v="4.79"/>
        <n v="3.77"/>
        <n v="4.0599999999999996"/>
        <n v="2.4500000000000002"/>
        <n v="2.64"/>
        <n v="16.940000000000001"/>
        <n v="2.73"/>
        <n v="4.6900000000000004"/>
        <n v="4.83"/>
        <n v="1.18"/>
        <n v="7.42"/>
        <n v="4.28"/>
        <n v="2.54"/>
        <n v="2.39"/>
        <n v="2.15"/>
        <n v="12.62"/>
        <n v="9.9"/>
        <n v="10.49"/>
        <n v="1.75"/>
        <n v="4.08"/>
        <n v="1.36"/>
        <n v="1.17"/>
        <n v="2.33"/>
        <n v="0.78"/>
        <n v="2.91"/>
        <n v="21.32"/>
        <n v="3.64"/>
        <n v="7.78"/>
        <n v="1.44"/>
        <n v="3.81"/>
        <n v="4.4000000000000004"/>
        <n v="3.3"/>
        <n v="5.58"/>
        <n v="2.12"/>
        <n v="2.79"/>
        <n v="1.35"/>
        <n v="2.0299999999999998"/>
        <n v="0.93"/>
        <n v="1.27"/>
        <n v="2.96"/>
        <n v="14.83"/>
        <n v="9.75"/>
        <n v="4.37"/>
        <n v="7.21"/>
        <n v="2.19"/>
        <n v="5.73"/>
        <n v="1"/>
        <n v="2.0699999999999998"/>
        <n v="2.78"/>
        <n v="2.25"/>
        <n v="1.42"/>
        <n v="7.41"/>
        <n v="9.26"/>
        <n v="9.6300000000000008"/>
        <n v="10"/>
        <n v="0"/>
        <n v="4.4400000000000004"/>
        <n v="4.07"/>
        <n v="0.74"/>
        <n v="3.7"/>
        <n v="1.48"/>
        <n v="1.85"/>
        <n v="4.51"/>
        <n v="10.88"/>
        <n v="5.16"/>
        <n v="6.7"/>
        <n v="1.65"/>
        <n v="2.2000000000000002"/>
        <n v="2.86"/>
        <n v="3.74"/>
        <n v="3.19"/>
        <n v="3.96"/>
        <n v="0.33"/>
        <n v="1.21"/>
        <n v="3.52"/>
        <n v="0.55000000000000004"/>
        <n v="1.43"/>
        <n v="4.18"/>
        <n v="7.96"/>
        <n v="10.96"/>
        <n v="7.87"/>
        <n v="2.56"/>
        <n v="7.37"/>
        <n v="0.88"/>
        <n v="4.97"/>
        <n v="4.03"/>
        <n v="1.67"/>
        <n v="3.5"/>
        <n v="3.25"/>
        <n v="10.5"/>
        <n v="10.75"/>
        <n v="6.75"/>
        <n v="4.25"/>
        <n v="6.25"/>
        <n v="7.25"/>
        <n v="4.75"/>
        <n v="1.25"/>
        <n v="5"/>
        <n v="0.25"/>
        <n v="2"/>
        <n v="12.1"/>
        <n v="1.51"/>
        <n v="8.32"/>
        <n v="10.210000000000001"/>
        <n v="3.4"/>
        <n v="5.67"/>
        <n v="0.95"/>
        <n v="2.27"/>
        <n v="0.19"/>
        <n v="1.89"/>
        <n v="1.1299999999999999"/>
        <n v="18.649999999999999"/>
        <n v="10.27"/>
        <n v="1.19"/>
        <n v="4.22"/>
        <n v="4.33"/>
        <n v="3.56"/>
        <n v="1.54"/>
        <n v="1.63"/>
        <n v="2.58"/>
        <n v="8.83"/>
        <n v="11.28"/>
        <n v="4.3499999999999996"/>
        <n v="5.57"/>
        <n v="0.54"/>
        <n v="1.0900000000000001"/>
        <n v="1.9"/>
        <n v="2.99"/>
        <n v="2.83"/>
        <n v="8.49"/>
        <n v="11.32"/>
        <n v="6.6"/>
        <n v="10.65"/>
        <n v="2.4300000000000002"/>
        <n v="5.53"/>
        <n v="3.37"/>
        <n v="1.08"/>
        <n v="2.02"/>
        <n v="0.94"/>
        <n v="4.3899999999999997"/>
        <n v="14.53"/>
        <n v="5.38"/>
        <n v="9.24"/>
        <n v="4.3"/>
        <n v="6.33"/>
        <n v="1.31"/>
        <n v="10.039999999999999"/>
        <n v="6.99"/>
        <n v="1.97"/>
        <n v="3.71"/>
        <n v="3.06"/>
        <n v="0.22"/>
        <n v="0.87"/>
        <n v="4.1900000000000004"/>
        <n v="12.45"/>
        <n v="6.29"/>
        <n v="11.53"/>
        <n v="2.1"/>
        <n v="3.01"/>
        <n v="0.92"/>
        <n v="2.36"/>
        <n v="0.79"/>
        <n v="10.91"/>
        <n v="3.17"/>
        <n v="8.93"/>
        <n v="6.94"/>
        <n v="5.75"/>
        <n v="1.59"/>
        <n v="4.76"/>
        <n v="4.5599999999999996"/>
        <n v="0.4"/>
        <n v="3.43"/>
        <n v="9.31"/>
        <n v="14.95"/>
        <n v="4.17"/>
        <n v="2.94"/>
        <n v="5.15"/>
        <n v="1.72"/>
        <n v="15.77"/>
        <n v="14.11"/>
        <n v="6.22"/>
        <n v="0.83"/>
        <n v="2.9"/>
        <n v="0.41"/>
        <n v="14.35"/>
        <n v="8.5500000000000007"/>
        <n v="1.22"/>
        <n v="5.65"/>
        <n v="2.14"/>
        <n v="1.07"/>
        <n v="1.49"/>
        <n v="10.4"/>
        <n v="6.58"/>
        <n v="5.31"/>
        <n v="1.06"/>
        <n v="2.97"/>
        <n v="0.42"/>
        <n v="5.94"/>
        <n v="4.46"/>
        <n v="1.91"/>
        <n v="1.46"/>
        <n v="12.57"/>
        <n v="14.91"/>
        <n v="4.09"/>
        <n v="3.8"/>
        <n v="0.28999999999999998"/>
        <n v="11.54"/>
        <n v="1.79"/>
        <n v="14.36"/>
        <n v="3.08"/>
        <n v="0.77"/>
        <n v="5.64"/>
        <n v="0.51"/>
        <n v="1.03"/>
        <n v="11.45"/>
        <n v="19.39"/>
        <n v="1.4"/>
        <n v="8.41"/>
        <n v="6.78"/>
        <n v="0.7"/>
        <n v="4.21"/>
        <n v="0.47"/>
        <n v="1.64"/>
        <n v="3.38"/>
        <n v="4.1100000000000003"/>
        <n v="10.87"/>
        <n v="8.6999999999999993"/>
        <n v="5.07"/>
        <n v="3.14"/>
        <n v="1.45"/>
        <n v="0.72"/>
        <n v="14.51"/>
        <n v="8.39"/>
        <n v="1.86"/>
        <n v="5.99"/>
        <n v="1.73"/>
        <n v="13.76"/>
        <n v="5.29"/>
        <n v="6.35"/>
        <n v="5.82"/>
        <n v="0.53"/>
        <n v="4.2300000000000004"/>
        <n v="23.42"/>
        <n v="10.81"/>
        <n v="0.9"/>
        <n v="3.6"/>
        <n v="0.45"/>
        <n v="4.05"/>
        <n v="13.95"/>
        <n v="1.1599999999999999"/>
        <n v="8.14"/>
        <n v="6.69"/>
        <n v="6.4"/>
        <n v="4.9400000000000004"/>
        <n v="4.3600000000000003"/>
        <n v="0.57999999999999996"/>
        <n v="0.84"/>
        <n v="13.81"/>
        <n v="7.95"/>
        <n v="8.3699999999999992"/>
        <n v="5.0199999999999996"/>
        <n v="20.51"/>
        <n v="5.13"/>
        <n v="7.69"/>
        <n v="1.28"/>
        <n v="14.08"/>
        <n v="11.17"/>
        <n v="3.88"/>
        <n v="5.83"/>
        <n v="1.94"/>
        <n v="4.8499999999999996"/>
        <n v="0.49"/>
        <n v="23.4"/>
        <n v="15.41"/>
        <n v="7.53"/>
        <n v="8.9600000000000009"/>
        <n v="6.81"/>
        <n v="6.31"/>
        <n v="14.41"/>
        <n v="22.86"/>
        <n v="0.56999999999999995"/>
        <n v="9.7100000000000009"/>
        <n v="4"/>
        <n v="1.71"/>
        <n v="5.49"/>
        <n v="7.32"/>
        <n v="7.93"/>
        <n v="11.59"/>
        <n v="16.46"/>
        <n v="27.35"/>
        <n v="11.11"/>
        <n v="3.42"/>
      </sharedItems>
    </cacheField>
    <cacheField name="総数（法人以外の団体）" numFmtId="0" sqlType="4">
      <sharedItems containsSemiMixedTypes="0" containsString="0" containsNumber="1" containsInteger="1" minValue="0" maxValue="30" count="14">
        <n v="9"/>
        <n v="0"/>
        <n v="26"/>
        <n v="11"/>
        <n v="1"/>
        <n v="12"/>
        <n v="30"/>
        <n v="8"/>
        <n v="2"/>
        <n v="5"/>
        <n v="3"/>
        <n v="7"/>
        <n v="6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9958680556" createdVersion="5" refreshedVersion="8" minRefreshableVersion="3" recordCount="1071" xr:uid="{A0CB45E5-701B-42A0-A0D8-959EA44657BA}">
  <cacheSource type="external" connectionId="3"/>
  <cacheFields count="14">
    <cacheField name="都道府県" numFmtId="0" sqlType="-9">
      <sharedItems count="1">
        <s v="28 兵庫県"/>
      </sharedItems>
    </cacheField>
    <cacheField name="自治体名" numFmtId="0" sqlType="-9">
      <sharedItems count="51">
        <s v="兵庫県"/>
        <s v="神戸市"/>
        <s v="神戸市東灘区"/>
        <s v="神戸市灘区"/>
        <s v="神戸市兵庫区"/>
        <s v="神戸市長田区"/>
        <s v="神戸市須磨区"/>
        <s v="神戸市垂水区"/>
        <s v="神戸市北区"/>
        <s v="神戸市中央区"/>
        <s v="神戸市西区"/>
        <s v="姫路市"/>
        <s v="尼崎市"/>
        <s v="明石市"/>
        <s v="西宮市"/>
        <s v="洲本市"/>
        <s v="芦屋市"/>
        <s v="伊丹市"/>
        <s v="相生市"/>
        <s v="豊岡市"/>
        <s v="加古川市"/>
        <s v="赤穂市"/>
        <s v="西脇市"/>
        <s v="宝塚市"/>
        <s v="三木市"/>
        <s v="高砂市"/>
        <s v="川西市"/>
        <s v="小野市"/>
        <s v="三田市"/>
        <s v="加西市"/>
        <s v="丹波篠山市"/>
        <s v="養父市"/>
        <s v="丹波市"/>
        <s v="南あわじ市"/>
        <s v="朝来市"/>
        <s v="淡路市"/>
        <s v="宍粟市"/>
        <s v="加東市"/>
        <s v="たつの市"/>
        <s v="川辺郡猪名川町"/>
        <s v="多可郡多可町"/>
        <s v="加古郡稲美町"/>
        <s v="加古郡播磨町"/>
        <s v="神崎郡市川町"/>
        <s v="神崎郡福崎町"/>
        <s v="神崎郡神河町"/>
        <s v="揖保郡太子町"/>
        <s v="赤穂郡上郡町"/>
        <s v="佐用郡佐用町"/>
        <s v="美方郡香美町"/>
        <s v="美方郡新温泉町"/>
      </sharedItems>
    </cacheField>
    <cacheField name="自治体" numFmtId="0" sqlType="-9">
      <sharedItems count="51">
        <s v="28000 兵庫県"/>
        <s v="28100 神戸市"/>
        <s v="28101 神戸市東灘区"/>
        <s v="28102 神戸市灘区"/>
        <s v="28105 神戸市兵庫区"/>
        <s v="28106 神戸市長田区"/>
        <s v="28107 神戸市須磨区"/>
        <s v="28108 神戸市垂水区"/>
        <s v="28109 神戸市北区"/>
        <s v="28110 神戸市中央区"/>
        <s v="28111 神戸市西区"/>
        <s v="28201 姫路市"/>
        <s v="28202 尼崎市"/>
        <s v="28203 明石市"/>
        <s v="28204 西宮市"/>
        <s v="28205 洲本市"/>
        <s v="28206 芦屋市"/>
        <s v="28207 伊丹市"/>
        <s v="28208 相生市"/>
        <s v="28209 豊岡市"/>
        <s v="28210 加古川市"/>
        <s v="28212 赤穂市"/>
        <s v="28213 西脇市"/>
        <s v="28214 宝塚市"/>
        <s v="28215 三木市"/>
        <s v="28216 高砂市"/>
        <s v="28217 川西市"/>
        <s v="28218 小野市"/>
        <s v="28219 三田市"/>
        <s v="28220 加西市"/>
        <s v="28221 丹波篠山市"/>
        <s v="28222 養父市"/>
        <s v="28223 丹波市"/>
        <s v="28224 南あわじ市"/>
        <s v="28225 朝来市"/>
        <s v="28226 淡路市"/>
        <s v="28227 宍粟市"/>
        <s v="28228 加東市"/>
        <s v="28229 たつの市"/>
        <s v="28301 川辺郡猪名川町"/>
        <s v="28365 多可郡多可町"/>
        <s v="28381 加古郡稲美町"/>
        <s v="28382 加古郡播磨町"/>
        <s v="28442 神崎郡市川町"/>
        <s v="28443 神崎郡福崎町"/>
        <s v="28446 神崎郡神河町"/>
        <s v="28464 揖保郡太子町"/>
        <s v="28481 赤穂郡上郡町"/>
        <s v="28501 佐用郡佐用町"/>
        <s v="28585 美方郡香美町"/>
        <s v="28586 美方郡新温泉町"/>
      </sharedItems>
    </cacheField>
    <cacheField name="産業分類コード" numFmtId="0" sqlType="-8">
      <sharedItems count="90">
        <s v="783"/>
        <s v="692"/>
        <s v="767"/>
        <s v="762"/>
        <s v="824"/>
        <s v="835"/>
        <s v="782"/>
        <s v="765"/>
        <s v="609"/>
        <s v="766"/>
        <s v="062"/>
        <s v="591"/>
        <s v="691"/>
        <s v="589"/>
        <s v="682"/>
        <s v="573"/>
        <s v="064"/>
        <s v="081"/>
        <s v="823"/>
        <s v="603"/>
        <s v="742"/>
        <s v="694"/>
        <s v="769"/>
        <s v="781"/>
        <s v="693"/>
        <s v="729"/>
        <s v="728"/>
        <s v="929"/>
        <s v="586"/>
        <s v="066"/>
        <s v="585"/>
        <s v="151"/>
        <s v="521"/>
        <s v="192"/>
        <s v="203"/>
        <s v="204"/>
        <s v="269"/>
        <s v="083"/>
        <s v="724"/>
        <s v="721"/>
        <s v="579"/>
        <s v="559"/>
        <s v="891"/>
        <s v="244"/>
        <s v="789"/>
        <s v="833"/>
        <s v="084"/>
        <s v="751"/>
        <s v="206"/>
        <s v="065"/>
        <s v="605"/>
        <s v="112"/>
        <s v="119"/>
        <s v="115"/>
        <s v="593"/>
        <s v="611"/>
        <s v="242"/>
        <s v="326"/>
        <s v="722"/>
        <s v="311"/>
        <s v="245"/>
        <s v="253"/>
        <s v="183"/>
        <s v="214"/>
        <s v="602"/>
        <s v="075"/>
        <s v="079"/>
        <s v="601"/>
        <s v="071"/>
        <s v="213"/>
        <s v="531"/>
        <s v="099"/>
        <s v="092"/>
        <s v="329"/>
        <s v="761"/>
        <s v="325"/>
        <s v="571"/>
        <s v="201"/>
        <s v="853"/>
        <s v="799"/>
        <s v="541"/>
        <s v="111"/>
        <s v="229"/>
        <s v="681"/>
        <s v="794"/>
        <s v="121"/>
        <s v="821"/>
        <s v="763"/>
        <s v="584"/>
        <s v="522"/>
      </sharedItems>
    </cacheField>
    <cacheField name="産業分類" numFmtId="0" sqlType="-9">
      <sharedItems count="90">
        <s v="美容業"/>
        <s v="貸家業，貸間業"/>
        <s v="喫茶店"/>
        <s v="専門料理店"/>
        <s v="教養・技能教授業"/>
        <s v="療術業"/>
        <s v="理容業"/>
        <s v="酒場，ビヤホール"/>
        <s v="他に分類されない小売業"/>
        <s v="バー，キャバレー，ナイトクラブ"/>
        <s v="土木工事業（舗装工事業を除く）"/>
        <s v="自動車小売業"/>
        <s v="不動産賃貸業（貸家業，貸間業を除く）"/>
        <s v="その他の飲食料品小売業"/>
        <s v="不動産代理業・仲介業"/>
        <s v="婦人・子供服小売業"/>
        <s v="建築工事業（木造建築工事業を除く）"/>
        <s v="電気工事業"/>
        <s v="学習塾"/>
        <s v="医薬品・化粧品小売業"/>
        <s v="土木建築サービス業"/>
        <s v="不動産管理業"/>
        <s v="その他の飲食店"/>
        <s v="洗濯業"/>
        <s v="駐車場業"/>
        <s v="その他の専門サービス業"/>
        <s v="経営コンサルタント業，純粋持株会社"/>
        <s v="他に分類されない事業サービス業"/>
        <s v="菓子・パン小売業"/>
        <s v="建築リフォーム工事業"/>
        <s v="酒小売業"/>
        <s v="印刷業"/>
        <s v="農畜産物・水産物卸売業"/>
        <s v="ゴム製・プラスチック製履物・同附属品製造業"/>
        <s v="革製履物用材料・同附属品製造業"/>
        <s v="革製履物製造業"/>
        <s v="その他の生産用機械・同部分品製造業"/>
        <s v="管工事業（さく井工事業を除く）"/>
        <s v="公認会計士事務所，税理士事務所"/>
        <s v="法律事務所，特許事務所"/>
        <s v="その他の織物・衣服・身の回り品小売業"/>
        <s v="他に分類されない卸売業"/>
        <s v="自動車整備業"/>
        <s v="建設用・建築用金属製品製造業（製缶板金業を含む）"/>
        <s v="その他の洗濯・理容・美容・浴場業"/>
        <s v="歯科診療所"/>
        <s v="機械器具設置工事業"/>
        <s v="旅館，ホテル"/>
        <s v="かばん製造業"/>
        <s v="木造建築工事業"/>
        <s v="燃料小売業"/>
        <s v="織物業"/>
        <s v="その他の繊維製品製造業"/>
        <s v="綱・網・レース・繊維粗製品製造業"/>
        <s v="機械器具小売業（自動車，自転車を除く）"/>
        <s v="通信販売・訪問販売小売業"/>
        <s v="洋食器・刃物・手道具・金物類製造業"/>
        <s v="ペン・鉛筆・絵画用品・その他の事務用品製造業"/>
        <s v="公証人役場，司法書士事務所，土地家屋調査士事務所"/>
        <s v="自動車・同附属品製造業"/>
        <s v="金属素形材製品製造業"/>
        <s v="一般産業用機械・装置製造業"/>
        <s v="工業用プラスチック製品製造業"/>
        <s v="陶磁器・同関連製品製造業"/>
        <s v="じゅう器小売業"/>
        <s v="左官工事業"/>
        <s v="その他の職別工事業"/>
        <s v="家具・建具・畳小売業"/>
        <s v="大工工事業"/>
        <s v="建設用粘土製品製造業（陶磁器製を除く）"/>
        <s v="建築材料卸売業"/>
        <s v="その他の食料品製造業"/>
        <s v="水産食料品製造業"/>
        <s v="他に分類されない製造業"/>
        <s v="食堂，レストラン（専門料理店を除く）"/>
        <s v="がん具・運動用具製造業"/>
        <s v="呉服・服地・寝具小売業"/>
        <s v="なめし革製造業"/>
        <s v="児童福祉事業"/>
        <s v="他に分類されない生活関連サービス業"/>
        <s v="産業機械器具卸売業"/>
        <s v="製糸業，紡績業，化学繊維・ねん糸等製造業"/>
        <s v="その他の鉄鋼業"/>
        <s v="建物売買業，土地売買業"/>
        <s v="物品預り業"/>
        <s v="製材業，木製品製造業"/>
        <s v="社会教育"/>
        <s v="そば・うどん店"/>
        <s v="鮮魚小売業"/>
        <s v="食料・飲料卸売業"/>
      </sharedItems>
    </cacheField>
    <cacheField name="産業小分類" numFmtId="0" sqlType="-9">
      <sharedItems count="90">
        <s v="783 美容業"/>
        <s v="692 貸家業，貸間業"/>
        <s v="767 喫茶店"/>
        <s v="762 専門料理店"/>
        <s v="824 教養・技能教授業"/>
        <s v="835 療術業"/>
        <s v="782 理容業"/>
        <s v="765 酒場，ビヤホール"/>
        <s v="609 他に分類されない小売業"/>
        <s v="766 バー，キャバレー，ナイトクラブ"/>
        <s v="062 土木工事業（舗装工事業を除く）"/>
        <s v="591 自動車小売業"/>
        <s v="691 不動産賃貸業（貸家業，貸間業を除く）"/>
        <s v="589 その他の飲食料品小売業"/>
        <s v="682 不動産代理業・仲介業"/>
        <s v="573 婦人・子供服小売業"/>
        <s v="064 建築工事業（木造建築工事業を除く）"/>
        <s v="081 電気工事業"/>
        <s v="823 学習塾"/>
        <s v="603 医薬品・化粧品小売業"/>
        <s v="742 土木建築サービス業"/>
        <s v="694 不動産管理業"/>
        <s v="769 その他の飲食店"/>
        <s v="781 洗濯業"/>
        <s v="693 駐車場業"/>
        <s v="729 その他の専門サービス業"/>
        <s v="728 経営コンサルタント業，純粋持株会社"/>
        <s v="929 他に分類されない事業サービス業"/>
        <s v="586 菓子・パン小売業"/>
        <s v="066 建築リフォーム工事業"/>
        <s v="585 酒小売業"/>
        <s v="151 印刷業"/>
        <s v="521 農畜産物・水産物卸売業"/>
        <s v="192 ゴム製・プラスチック製履物・同附属品製造業"/>
        <s v="203 革製履物用材料・同附属品製造業"/>
        <s v="204 革製履物製造業"/>
        <s v="269 その他の生産用機械・同部分品製造業"/>
        <s v="083 管工事業（さく井工事業を除く）"/>
        <s v="724 公認会計士事務所，税理士事務所"/>
        <s v="721 法律事務所，特許事務所"/>
        <s v="579 その他の織物・衣服・身の回り品小売業"/>
        <s v="559 他に分類されない卸売業"/>
        <s v="891 自動車整備業"/>
        <s v="244 建設用・建築用金属製品製造業（製缶板金業を含む）"/>
        <s v="789 その他の洗濯・理容・美容・浴場業"/>
        <s v="833 歯科診療所"/>
        <s v="084 機械器具設置工事業"/>
        <s v="751 旅館，ホテル"/>
        <s v="206 かばん製造業"/>
        <s v="065 木造建築工事業"/>
        <s v="605 燃料小売業"/>
        <s v="112 織物業"/>
        <s v="119 その他の繊維製品製造業"/>
        <s v="115 綱・網・レース・繊維粗製品製造業"/>
        <s v="593 機械器具小売業（自動車，自転車を除く）"/>
        <s v="611 通信販売・訪問販売小売業"/>
        <s v="242 洋食器・刃物・手道具・金物類製造業"/>
        <s v="326 ペン・鉛筆・絵画用品・その他の事務用品製造業"/>
        <s v="722 公証人役場，司法書士事務所，土地家屋調査士事務所"/>
        <s v="311 自動車・同附属品製造業"/>
        <s v="245 金属素形材製品製造業"/>
        <s v="253 一般産業用機械・装置製造業"/>
        <s v="183 工業用プラスチック製品製造業"/>
        <s v="214 陶磁器・同関連製品製造業"/>
        <s v="602 じゅう器小売業"/>
        <s v="075 左官工事業"/>
        <s v="079 その他の職別工事業"/>
        <s v="601 家具・建具・畳小売業"/>
        <s v="071 大工工事業"/>
        <s v="213 建設用粘土製品製造業（陶磁器製を除く）"/>
        <s v="531 建築材料卸売業"/>
        <s v="099 その他の食料品製造業"/>
        <s v="092 水産食料品製造業"/>
        <s v="329 他に分類されない製造業"/>
        <s v="761 食堂，レストラン（専門料理店を除く）"/>
        <s v="325 がん具・運動用具製造業"/>
        <s v="571 呉服・服地・寝具小売業"/>
        <s v="201 なめし革製造業"/>
        <s v="853 児童福祉事業"/>
        <s v="799 他に分類されない生活関連サービス業"/>
        <s v="541 産業機械器具卸売業"/>
        <s v="111 製糸業，紡績業，化学繊維・ねん糸等製造業"/>
        <s v="229 その他の鉄鋼業"/>
        <s v="681 建物売買業，土地売買業"/>
        <s v="794 物品預り業"/>
        <s v="121 製材業，木製品製造業"/>
        <s v="821 社会教育"/>
        <s v="763 そば・うどん店"/>
        <s v="584 鮮魚小売業"/>
        <s v="522 食料・飲料卸売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4" maxValue="5559" count="232">
        <n v="5559"/>
        <n v="4929"/>
        <n v="3184"/>
        <n v="3010"/>
        <n v="2843"/>
        <n v="2824"/>
        <n v="2746"/>
        <n v="2567"/>
        <n v="2523"/>
        <n v="2410"/>
        <n v="2402"/>
        <n v="1853"/>
        <n v="1782"/>
        <n v="1747"/>
        <n v="1650"/>
        <n v="1645"/>
        <n v="1575"/>
        <n v="1528"/>
        <n v="1499"/>
        <n v="1452"/>
        <n v="1644"/>
        <n v="1313"/>
        <n v="1173"/>
        <n v="1019"/>
        <n v="951"/>
        <n v="861"/>
        <n v="818"/>
        <n v="792"/>
        <n v="765"/>
        <n v="658"/>
        <n v="652"/>
        <n v="601"/>
        <n v="574"/>
        <n v="561"/>
        <n v="463"/>
        <n v="460"/>
        <n v="409"/>
        <n v="396"/>
        <n v="394"/>
        <n v="386"/>
        <n v="245"/>
        <n v="182"/>
        <n v="141"/>
        <n v="123"/>
        <n v="93"/>
        <n v="90"/>
        <n v="81"/>
        <n v="79"/>
        <n v="70"/>
        <n v="66"/>
        <n v="62"/>
        <n v="59"/>
        <n v="56"/>
        <n v="55"/>
        <n v="51"/>
        <n v="49"/>
        <n v="165"/>
        <n v="159"/>
        <n v="117"/>
        <n v="98"/>
        <n v="87"/>
        <n v="75"/>
        <n v="72"/>
        <n v="71"/>
        <n v="69"/>
        <n v="46"/>
        <n v="45"/>
        <n v="42"/>
        <n v="40"/>
        <n v="39"/>
        <n v="187"/>
        <n v="149"/>
        <n v="126"/>
        <n v="107"/>
        <n v="104"/>
        <n v="97"/>
        <n v="78"/>
        <n v="76"/>
        <n v="60"/>
        <n v="54"/>
        <n v="52"/>
        <n v="48"/>
        <n v="47"/>
        <n v="43"/>
        <n v="138"/>
        <n v="116"/>
        <n v="113"/>
        <n v="112"/>
        <n v="73"/>
        <n v="68"/>
        <n v="67"/>
        <n v="50"/>
        <n v="41"/>
        <n v="38"/>
        <n v="114"/>
        <n v="96"/>
        <n v="77"/>
        <n v="58"/>
        <n v="53"/>
        <n v="33"/>
        <n v="32"/>
        <n v="31"/>
        <n v="161"/>
        <n v="92"/>
        <n v="80"/>
        <n v="74"/>
        <n v="57"/>
        <n v="44"/>
        <n v="145"/>
        <n v="100"/>
        <n v="65"/>
        <n v="61"/>
        <n v="36"/>
        <n v="35"/>
        <n v="719"/>
        <n v="533"/>
        <n v="410"/>
        <n v="330"/>
        <n v="260"/>
        <n v="257"/>
        <n v="254"/>
        <n v="237"/>
        <n v="236"/>
        <n v="233"/>
        <n v="214"/>
        <n v="204"/>
        <n v="181"/>
        <n v="163"/>
        <n v="155"/>
        <n v="140"/>
        <n v="134"/>
        <n v="131"/>
        <n v="162"/>
        <n v="84"/>
        <n v="64"/>
        <n v="63"/>
        <n v="685"/>
        <n v="348"/>
        <n v="340"/>
        <n v="319"/>
        <n v="318"/>
        <n v="284"/>
        <n v="277"/>
        <n v="276"/>
        <n v="262"/>
        <n v="247"/>
        <n v="209"/>
        <n v="195"/>
        <n v="193"/>
        <n v="185"/>
        <n v="184"/>
        <n v="179"/>
        <n v="176"/>
        <n v="175"/>
        <n v="507"/>
        <n v="449"/>
        <n v="343"/>
        <n v="300"/>
        <n v="287"/>
        <n v="235"/>
        <n v="227"/>
        <n v="226"/>
        <n v="213"/>
        <n v="208"/>
        <n v="171"/>
        <n v="168"/>
        <n v="154"/>
        <n v="143"/>
        <n v="136"/>
        <n v="135"/>
        <n v="152"/>
        <n v="147"/>
        <n v="137"/>
        <n v="89"/>
        <n v="88"/>
        <n v="86"/>
        <n v="579"/>
        <n v="466"/>
        <n v="308"/>
        <n v="200"/>
        <n v="189"/>
        <n v="164"/>
        <n v="156"/>
        <n v="139"/>
        <n v="130"/>
        <n v="122"/>
        <n v="111"/>
        <n v="108"/>
        <n v="105"/>
        <n v="37"/>
        <n v="34"/>
        <n v="30"/>
        <n v="29"/>
        <n v="27"/>
        <n v="26"/>
        <n v="25"/>
        <n v="24"/>
        <n v="23"/>
        <n v="22"/>
        <n v="21"/>
        <n v="158"/>
        <n v="85"/>
        <n v="19"/>
        <n v="18"/>
        <n v="17"/>
        <n v="16"/>
        <n v="15"/>
        <n v="12"/>
        <n v="11"/>
        <n v="10"/>
        <n v="115"/>
        <n v="99"/>
        <n v="296"/>
        <n v="180"/>
        <n v="142"/>
        <n v="121"/>
        <n v="109"/>
        <n v="91"/>
        <n v="20"/>
        <n v="28"/>
        <n v="198"/>
        <n v="106"/>
        <n v="101"/>
        <n v="82"/>
        <n v="14"/>
        <n v="13"/>
        <n v="9"/>
        <n v="8"/>
        <n v="7"/>
        <n v="6"/>
        <n v="5"/>
        <n v="4"/>
      </sharedItems>
    </cacheField>
    <cacheField name="構成比" numFmtId="0" sqlType="3">
      <sharedItems containsSemiMixedTypes="0" containsString="0" containsNumber="1" minValue="1" maxValue="16.059999999999999" count="321">
        <n v="4.8099999999999996"/>
        <n v="4.2699999999999996"/>
        <n v="2.76"/>
        <n v="2.61"/>
        <n v="2.46"/>
        <n v="2.4500000000000002"/>
        <n v="2.38"/>
        <n v="2.2200000000000002"/>
        <n v="2.1800000000000002"/>
        <n v="2.09"/>
        <n v="2.08"/>
        <n v="1.6"/>
        <n v="1.54"/>
        <n v="1.51"/>
        <n v="1.43"/>
        <n v="1.42"/>
        <n v="1.36"/>
        <n v="1.32"/>
        <n v="1.3"/>
        <n v="1.26"/>
        <n v="4.84"/>
        <n v="3.86"/>
        <n v="3.45"/>
        <n v="3"/>
        <n v="2.8"/>
        <n v="2.5299999999999998"/>
        <n v="2.41"/>
        <n v="2.33"/>
        <n v="2.25"/>
        <n v="1.94"/>
        <n v="1.92"/>
        <n v="1.77"/>
        <n v="1.69"/>
        <n v="1.65"/>
        <n v="1.35"/>
        <n v="1.2"/>
        <n v="1.17"/>
        <n v="1.1599999999999999"/>
        <n v="1.1399999999999999"/>
        <n v="6.43"/>
        <n v="4.78"/>
        <n v="3.7"/>
        <n v="3.23"/>
        <n v="2.44"/>
        <n v="2.36"/>
        <n v="2.13"/>
        <n v="2.0699999999999998"/>
        <n v="1.84"/>
        <n v="1.73"/>
        <n v="1.63"/>
        <n v="1.55"/>
        <n v="1.47"/>
        <n v="1.44"/>
        <n v="1.34"/>
        <n v="1.29"/>
        <n v="5.67"/>
        <n v="5.46"/>
        <n v="4.0199999999999996"/>
        <n v="3.37"/>
        <n v="2.99"/>
        <n v="2.78"/>
        <n v="2.58"/>
        <n v="2.4700000000000002"/>
        <n v="2.4"/>
        <n v="2.37"/>
        <n v="2.0299999999999998"/>
        <n v="1.58"/>
        <n v="1.37"/>
        <n v="5.1100000000000003"/>
        <n v="4.07"/>
        <n v="3.85"/>
        <n v="3.44"/>
        <n v="2.92"/>
        <n v="2.84"/>
        <n v="2.65"/>
        <n v="2.0499999999999998"/>
        <n v="1.64"/>
        <n v="1.61"/>
        <n v="1.31"/>
        <n v="1.28"/>
        <n v="1.23"/>
        <n v="4.3099999999999996"/>
        <n v="3.62"/>
        <n v="3.53"/>
        <n v="3.5"/>
        <n v="3.03"/>
        <n v="2.2799999999999998"/>
        <n v="2.12"/>
        <n v="2.06"/>
        <n v="1.62"/>
        <n v="1.59"/>
        <n v="1.56"/>
        <n v="1.41"/>
        <n v="1.22"/>
        <n v="1.19"/>
        <n v="5.07"/>
        <n v="3.42"/>
        <n v="3.07"/>
        <n v="2.62"/>
        <n v="2.04"/>
        <n v="1.38"/>
        <n v="6.27"/>
        <n v="4.91"/>
        <n v="3.82"/>
        <n v="3.58"/>
        <n v="3.12"/>
        <n v="2.88"/>
        <n v="2.02"/>
        <n v="1.95"/>
        <n v="1.91"/>
        <n v="1.87"/>
        <n v="1.71"/>
        <n v="4.63"/>
        <n v="3.76"/>
        <n v="2.97"/>
        <n v="2.71"/>
        <n v="2.56"/>
        <n v="2.29"/>
        <n v="2.14"/>
        <n v="1.96"/>
        <n v="7.29"/>
        <n v="5.41"/>
        <n v="4.16"/>
        <n v="3.35"/>
        <n v="2.64"/>
        <n v="2.39"/>
        <n v="2.17"/>
        <n v="1.85"/>
        <n v="1.67"/>
        <n v="1.57"/>
        <n v="1.33"/>
        <n v="5.28"/>
        <n v="2.74"/>
        <n v="2.57"/>
        <n v="2.5099999999999998"/>
        <n v="2.35"/>
        <n v="1.82"/>
        <n v="1.79"/>
        <n v="1.5"/>
        <n v="5.45"/>
        <n v="3.13"/>
        <n v="2.77"/>
        <n v="2.7"/>
        <n v="2.54"/>
        <n v="2.2599999999999998"/>
        <n v="2.2000000000000002"/>
        <n v="1.66"/>
        <n v="1.46"/>
        <n v="1.4"/>
        <n v="1.39"/>
        <n v="4.67"/>
        <n v="3.57"/>
        <n v="2.16"/>
        <n v="1.78"/>
        <n v="1.75"/>
        <n v="1.49"/>
        <n v="1.21"/>
        <n v="6.58"/>
        <n v="3.38"/>
        <n v="3.33"/>
        <n v="3.22"/>
        <n v="2.94"/>
        <n v="1.93"/>
        <n v="1.89"/>
        <n v="1.53"/>
        <n v="1.27"/>
        <n v="7.51"/>
        <n v="6.05"/>
        <n v="4"/>
        <n v="3.18"/>
        <n v="3.02"/>
        <n v="2.6"/>
        <n v="2.27"/>
        <n v="1.8"/>
        <n v="5.03"/>
        <n v="4.2"/>
        <n v="2.5499999999999998"/>
        <n v="2.48"/>
        <n v="2.34"/>
        <n v="2"/>
        <n v="1.86"/>
        <n v="1.72"/>
        <n v="1.52"/>
        <n v="1.45"/>
        <n v="7.7"/>
        <n v="4.72"/>
        <n v="4.62"/>
        <n v="3.4"/>
        <n v="3.24"/>
        <n v="3.08"/>
        <n v="2.4900000000000002"/>
        <n v="5.13"/>
        <n v="3.6"/>
        <n v="2.52"/>
        <n v="2.3199999999999998"/>
        <n v="2.0099999999999998"/>
        <n v="7.04"/>
        <n v="6.77"/>
        <n v="3.04"/>
        <n v="2.9"/>
        <n v="2.21"/>
        <n v="3.96"/>
        <n v="3.93"/>
        <n v="3.72"/>
        <n v="3.41"/>
        <n v="2.79"/>
        <n v="2.1"/>
        <n v="3.91"/>
        <n v="3.34"/>
        <n v="2.82"/>
        <n v="2.63"/>
        <n v="1.98"/>
        <n v="1.76"/>
        <n v="6.07"/>
        <n v="3.74"/>
        <n v="2.93"/>
        <n v="4.29"/>
        <n v="4.21"/>
        <n v="3.16"/>
        <n v="3.01"/>
        <n v="2.11"/>
        <n v="1.81"/>
        <n v="6.53"/>
        <n v="3.27"/>
        <n v="2.31"/>
        <n v="5.76"/>
        <n v="4.68"/>
        <n v="3.2"/>
        <n v="3.14"/>
        <n v="2.85"/>
        <n v="1.88"/>
        <n v="1.48"/>
        <n v="5.77"/>
        <n v="4.04"/>
        <n v="3.29"/>
        <n v="1.9"/>
        <n v="6.36"/>
        <n v="4.47"/>
        <n v="2.72"/>
        <n v="2.67"/>
        <n v="6.01"/>
        <n v="3.73"/>
        <n v="3.05"/>
        <n v="5.35"/>
        <n v="3.98"/>
        <n v="3.9"/>
        <n v="3.06"/>
        <n v="2.68"/>
        <n v="1.68"/>
        <n v="3.79"/>
        <n v="3.83"/>
        <n v="3.48"/>
        <n v="3.39"/>
        <n v="3.3"/>
        <n v="2.5"/>
        <n v="1.25"/>
        <n v="5.83"/>
        <n v="4.9800000000000004"/>
        <n v="1.99"/>
        <n v="4.88"/>
        <n v="3.11"/>
        <n v="4.45"/>
        <n v="4.32"/>
        <n v="4.26"/>
        <n v="2.73"/>
        <n v="2.42"/>
        <n v="6.4"/>
        <n v="4.57"/>
        <n v="4.24"/>
        <n v="4.1500000000000004"/>
        <n v="2.66"/>
        <n v="2.2400000000000002"/>
        <n v="1.83"/>
        <n v="1.74"/>
        <n v="16.059999999999999"/>
        <n v="4.9000000000000004"/>
        <n v="4.83"/>
        <n v="1"/>
        <n v="3.19"/>
        <n v="2.86"/>
        <n v="4.75"/>
        <n v="4.49"/>
        <n v="3.81"/>
        <n v="1.1000000000000001"/>
        <n v="5.43"/>
        <n v="9.09"/>
        <n v="4.4000000000000004"/>
        <n v="3.55"/>
        <n v="1.7"/>
        <n v="3.64"/>
        <n v="2.69"/>
        <n v="7"/>
        <n v="4.13"/>
        <n v="3.77"/>
        <n v="3.59"/>
        <n v="2.15"/>
        <n v="1.97"/>
        <n v="7.69"/>
        <n v="3.68"/>
        <n v="4.12"/>
        <n v="1.18"/>
        <n v="7.23"/>
        <n v="4.34"/>
        <n v="4.05"/>
        <n v="6.75"/>
        <n v="5.4"/>
        <n v="3.51"/>
        <n v="2.83"/>
        <n v="2.4300000000000002"/>
        <n v="4.3"/>
        <n v="3.49"/>
        <n v="2.96"/>
        <n v="6.47"/>
        <n v="4.55"/>
        <n v="3.32"/>
        <n v="3.15"/>
        <n v="12.35"/>
        <n v="5.29"/>
        <n v="6.25"/>
        <n v="5.05"/>
        <n v="4.33"/>
      </sharedItems>
    </cacheField>
    <cacheField name="総数（個人）" numFmtId="0" sqlType="4">
      <sharedItems containsSemiMixedTypes="0" containsString="0" containsNumber="1" containsInteger="1" minValue="0" maxValue="4955" count="188">
        <n v="4955"/>
        <n v="1717"/>
        <n v="2958"/>
        <n v="2509"/>
        <n v="2186"/>
        <n v="2515"/>
        <n v="2600"/>
        <n v="2366"/>
        <n v="1725"/>
        <n v="2336"/>
        <n v="498"/>
        <n v="1156"/>
        <n v="221"/>
        <n v="315"/>
        <n v="823"/>
        <n v="333"/>
        <n v="542"/>
        <n v="1098"/>
        <n v="578"/>
        <n v="488"/>
        <n v="1152"/>
        <n v="949"/>
        <n v="976"/>
        <n v="861"/>
        <n v="774"/>
        <n v="706"/>
        <n v="576"/>
        <n v="468"/>
        <n v="600"/>
        <n v="81"/>
        <n v="95"/>
        <n v="253"/>
        <n v="332"/>
        <n v="138"/>
        <n v="31"/>
        <n v="380"/>
        <n v="127"/>
        <n v="202"/>
        <n v="210"/>
        <n v="32"/>
        <n v="155"/>
        <n v="94"/>
        <n v="103"/>
        <n v="76"/>
        <n v="78"/>
        <n v="53"/>
        <n v="17"/>
        <n v="5"/>
        <n v="20"/>
        <n v="30"/>
        <n v="2"/>
        <n v="3"/>
        <n v="15"/>
        <n v="4"/>
        <n v="7"/>
        <n v="26"/>
        <n v="44"/>
        <n v="143"/>
        <n v="84"/>
        <n v="80"/>
        <n v="57"/>
        <n v="69"/>
        <n v="8"/>
        <n v="48"/>
        <n v="49"/>
        <n v="65"/>
        <n v="58"/>
        <n v="24"/>
        <n v="42"/>
        <n v="10"/>
        <n v="90"/>
        <n v="142"/>
        <n v="132"/>
        <n v="107"/>
        <n v="102"/>
        <n v="73"/>
        <n v="77"/>
        <n v="67"/>
        <n v="50"/>
        <n v="43"/>
        <n v="40"/>
        <n v="13"/>
        <n v="29"/>
        <n v="101"/>
        <n v="52"/>
        <n v="83"/>
        <n v="70"/>
        <n v="47"/>
        <n v="64"/>
        <n v="59"/>
        <n v="39"/>
        <n v="41"/>
        <n v="33"/>
        <n v="9"/>
        <n v="72"/>
        <n v="46"/>
        <n v="12"/>
        <n v="6"/>
        <n v="11"/>
        <n v="14"/>
        <n v="18"/>
        <n v="147"/>
        <n v="36"/>
        <n v="60"/>
        <n v="37"/>
        <n v="45"/>
        <n v="25"/>
        <n v="0"/>
        <n v="23"/>
        <n v="21"/>
        <n v="125"/>
        <n v="28"/>
        <n v="71"/>
        <n v="66"/>
        <n v="51"/>
        <n v="61"/>
        <n v="38"/>
        <n v="681"/>
        <n v="411"/>
        <n v="122"/>
        <n v="285"/>
        <n v="134"/>
        <n v="220"/>
        <n v="195"/>
        <n v="152"/>
        <n v="19"/>
        <n v="55"/>
        <n v="54"/>
        <n v="610"/>
        <n v="188"/>
        <n v="322"/>
        <n v="313"/>
        <n v="250"/>
        <n v="307"/>
        <n v="243"/>
        <n v="197"/>
        <n v="259"/>
        <n v="245"/>
        <n v="164"/>
        <n v="163"/>
        <n v="88"/>
        <n v="141"/>
        <n v="34"/>
        <n v="154"/>
        <n v="393"/>
        <n v="323"/>
        <n v="288"/>
        <n v="256"/>
        <n v="227"/>
        <n v="218"/>
        <n v="176"/>
        <n v="159"/>
        <n v="104"/>
        <n v="22"/>
        <n v="16"/>
        <n v="129"/>
        <n v="266"/>
        <n v="128"/>
        <n v="139"/>
        <n v="124"/>
        <n v="89"/>
        <n v="180"/>
        <n v="386"/>
        <n v="271"/>
        <n v="156"/>
        <n v="136"/>
        <n v="170"/>
        <n v="35"/>
        <n v="1"/>
        <n v="27"/>
        <n v="148"/>
        <n v="106"/>
        <n v="68"/>
        <n v="63"/>
        <n v="110"/>
        <n v="98"/>
        <n v="273"/>
        <n v="120"/>
        <n v="111"/>
        <n v="62"/>
        <n v="145"/>
        <n v="92"/>
        <n v="79"/>
        <n v="116"/>
        <n v="56"/>
        <n v="86"/>
        <n v="178"/>
        <n v="82"/>
      </sharedItems>
    </cacheField>
    <cacheField name="構成比（個人）" numFmtId="0" sqlType="3">
      <sharedItems containsSemiMixedTypes="0" containsString="0" containsNumber="1" minValue="0" maxValue="18.29" count="473">
        <n v="8.27"/>
        <n v="2.86"/>
        <n v="4.93"/>
        <n v="4.1900000000000004"/>
        <n v="3.65"/>
        <n v="4.2"/>
        <n v="4.34"/>
        <n v="3.95"/>
        <n v="2.88"/>
        <n v="3.9"/>
        <n v="0.83"/>
        <n v="1.93"/>
        <n v="0.37"/>
        <n v="0.53"/>
        <n v="1.37"/>
        <n v="0.56000000000000005"/>
        <n v="0.9"/>
        <n v="1.83"/>
        <n v="0.96"/>
        <n v="3.07"/>
        <n v="7.26"/>
        <n v="5.98"/>
        <n v="6.15"/>
        <n v="5.42"/>
        <n v="4.88"/>
        <n v="4.45"/>
        <n v="3.63"/>
        <n v="2.95"/>
        <n v="3.78"/>
        <n v="0.51"/>
        <n v="0.6"/>
        <n v="1.59"/>
        <n v="2.09"/>
        <n v="0.87"/>
        <n v="0.2"/>
        <n v="2.39"/>
        <n v="0.8"/>
        <n v="1.27"/>
        <n v="1.32"/>
        <n v="2.08"/>
        <n v="10.1"/>
        <n v="6.12"/>
        <n v="6.71"/>
        <n v="4.95"/>
        <n v="5.28"/>
        <n v="5.08"/>
        <n v="3.45"/>
        <n v="1.1100000000000001"/>
        <n v="0.33"/>
        <n v="1.3"/>
        <n v="1.95"/>
        <n v="0.13"/>
        <n v="0.98"/>
        <n v="0.26"/>
        <n v="0.46"/>
        <n v="1.69"/>
        <n v="3.01"/>
        <n v="9.7799999999999994"/>
        <n v="7.05"/>
        <n v="5.75"/>
        <n v="5.47"/>
        <n v="4.72"/>
        <n v="0.55000000000000004"/>
        <n v="3.28"/>
        <n v="3.35"/>
        <n v="3.97"/>
        <n v="1.64"/>
        <n v="2.12"/>
        <n v="0.21"/>
        <n v="2.87"/>
        <n v="0.68"/>
        <n v="4.46"/>
        <n v="7.04"/>
        <n v="6.55"/>
        <n v="5.31"/>
        <n v="5.0599999999999996"/>
        <n v="3.77"/>
        <n v="3.62"/>
        <n v="3.82"/>
        <n v="3.42"/>
        <n v="3.32"/>
        <n v="2.48"/>
        <n v="2.13"/>
        <n v="0.4"/>
        <n v="1.98"/>
        <n v="0.5"/>
        <n v="0.74"/>
        <n v="0.35"/>
        <n v="0.64"/>
        <n v="0.1"/>
        <n v="1.44"/>
        <n v="6.95"/>
        <n v="5.32"/>
        <n v="2.74"/>
        <n v="4.37"/>
        <n v="2.79"/>
        <n v="3.68"/>
        <n v="2.5299999999999998"/>
        <n v="2.4700000000000002"/>
        <n v="3.37"/>
        <n v="3.11"/>
        <n v="2.58"/>
        <n v="2.0499999999999998"/>
        <n v="2.16"/>
        <n v="1.26"/>
        <n v="1.68"/>
        <n v="1.74"/>
        <n v="0.47"/>
        <n v="0.79"/>
        <n v="2.77"/>
        <n v="7.5"/>
        <n v="6.43"/>
        <n v="5.09"/>
        <n v="4.7300000000000004"/>
        <n v="4.1100000000000003"/>
        <n v="4.6399999999999997"/>
        <n v="1.07"/>
        <n v="2.14"/>
        <n v="0.54"/>
        <n v="0.63"/>
        <n v="0.89"/>
        <n v="1.79"/>
        <n v="1.25"/>
        <n v="1.61"/>
        <n v="11.77"/>
        <n v="6.16"/>
        <n v="6.73"/>
        <n v="5.76"/>
        <n v="4.8"/>
        <n v="0.72"/>
        <n v="2.96"/>
        <n v="0.32"/>
        <n v="3.6"/>
        <n v="2"/>
        <n v="0"/>
        <n v="0.48"/>
        <n v="2.3199999999999998"/>
        <n v="1.84"/>
        <n v="0.88"/>
        <n v="10.77"/>
        <n v="2.41"/>
        <n v="7.24"/>
        <n v="5.68"/>
        <n v="4.3899999999999997"/>
        <n v="5.25"/>
        <n v="3.1"/>
        <n v="1.1200000000000001"/>
        <n v="2.67"/>
        <n v="1.21"/>
        <n v="3.27"/>
        <n v="0.69"/>
        <n v="0.17"/>
        <n v="0.43"/>
        <n v="0.52"/>
        <n v="1.46"/>
        <n v="15.52"/>
        <n v="9.3699999999999992"/>
        <n v="2.78"/>
        <n v="6.5"/>
        <n v="3.05"/>
        <n v="4.79"/>
        <n v="2.17"/>
        <n v="0.73"/>
        <n v="5.01"/>
        <n v="4.4400000000000004"/>
        <n v="4.5999999999999996"/>
        <n v="1.1399999999999999"/>
        <n v="3.46"/>
        <n v="2.33"/>
        <n v="1.34"/>
        <n v="0.23"/>
        <n v="7.95"/>
        <n v="4.41"/>
        <n v="5.27"/>
        <n v="5.17"/>
        <n v="1.1499999999999999"/>
        <n v="0.28999999999999998"/>
        <n v="4.5"/>
        <n v="0.77"/>
        <n v="0.86"/>
        <n v="2.68"/>
        <n v="3.83"/>
        <n v="9.1999999999999993"/>
        <n v="2.84"/>
        <n v="4.8600000000000003"/>
        <n v="4.63"/>
        <n v="3.67"/>
        <n v="2.97"/>
        <n v="3.91"/>
        <n v="3.7"/>
        <n v="2.46"/>
        <n v="0.36"/>
        <n v="1.33"/>
        <n v="1.04"/>
        <n v="3.18"/>
        <n v="8.11"/>
        <n v="6.67"/>
        <n v="5.94"/>
        <n v="4.6900000000000004"/>
        <n v="4.17"/>
        <n v="2.15"/>
        <n v="0.66"/>
        <n v="0.45"/>
        <n v="2.66"/>
        <n v="1.51"/>
        <n v="0.25"/>
        <n v="10.69"/>
        <n v="5.14"/>
        <n v="0.76"/>
        <n v="5.54"/>
        <n v="5.58"/>
        <n v="4.9800000000000004"/>
        <n v="5.0199999999999996"/>
        <n v="3.25"/>
        <n v="3.58"/>
        <n v="2.29"/>
        <n v="2.57"/>
        <n v="0.84"/>
        <n v="5.1100000000000003"/>
        <n v="10.96"/>
        <n v="7.69"/>
        <n v="5.74"/>
        <n v="4.43"/>
        <n v="3.86"/>
        <n v="4.83"/>
        <n v="0.56999999999999995"/>
        <n v="3.92"/>
        <n v="1.82"/>
        <n v="3.61"/>
        <n v="1.96"/>
        <n v="1.85"/>
        <n v="0.11"/>
        <n v="0.71"/>
        <n v="3.81"/>
        <n v="1.23"/>
        <n v="3.36"/>
        <n v="3.14"/>
        <n v="2.91"/>
        <n v="2.69"/>
        <n v="2.2400000000000002"/>
        <n v="1.01"/>
        <n v="11.26"/>
        <n v="10.53"/>
        <n v="6.87"/>
        <n v="0.44"/>
        <n v="3.22"/>
        <n v="0.57999999999999996"/>
        <n v="4.97"/>
        <n v="3.8"/>
        <n v="0.15"/>
        <n v="1.9"/>
        <n v="3.51"/>
        <n v="10.28"/>
        <n v="7.36"/>
        <n v="4.0999999999999996"/>
        <n v="4.38"/>
        <n v="0.14000000000000001"/>
        <n v="2.0099999999999998"/>
        <n v="0.49"/>
        <n v="0.28000000000000003"/>
        <n v="2.5"/>
        <n v="1.94"/>
        <n v="8.74"/>
        <n v="10.57"/>
        <n v="5.29"/>
        <n v="4.1399999999999997"/>
        <n v="2.99"/>
        <n v="2.0699999999999998"/>
        <n v="2.2999999999999998"/>
        <n v="5.69"/>
        <n v="5.07"/>
        <n v="3.26"/>
        <n v="3"/>
        <n v="2.4300000000000002"/>
        <n v="2.02"/>
        <n v="1.71"/>
        <n v="1.76"/>
        <n v="1.45"/>
        <n v="10.79"/>
        <n v="4.07"/>
        <n v="5.81"/>
        <n v="4.74"/>
        <n v="4.9400000000000004"/>
        <n v="3.99"/>
        <n v="0.67"/>
        <n v="3.2"/>
        <n v="1.19"/>
        <n v="2.4500000000000002"/>
        <n v="0.75"/>
        <n v="0.59"/>
        <n v="9.3000000000000007"/>
        <n v="6.14"/>
        <n v="2.98"/>
        <n v="4.91"/>
        <n v="3.16"/>
        <n v="1.4"/>
        <n v="2.63"/>
        <n v="0.7"/>
        <n v="3.33"/>
        <n v="1.75"/>
        <n v="1.05"/>
        <n v="6.09"/>
        <n v="5.33"/>
        <n v="3.17"/>
        <n v="1.52"/>
        <n v="2.0299999999999998"/>
        <n v="1.65"/>
        <n v="1.78"/>
        <n v="2.54"/>
        <n v="3.29"/>
        <n v="10.85"/>
        <n v="1.87"/>
        <n v="6.06"/>
        <n v="6.88"/>
        <n v="3.74"/>
        <n v="3.59"/>
        <n v="2.62"/>
        <n v="1.8"/>
        <n v="1.72"/>
        <n v="6.66"/>
        <n v="7.85"/>
        <n v="5.37"/>
        <n v="1.29"/>
        <n v="1.39"/>
        <n v="0.3"/>
        <n v="1.99"/>
        <n v="1.49"/>
        <n v="1.0900000000000001"/>
        <n v="9.36"/>
        <n v="7.02"/>
        <n v="4.68"/>
        <n v="5.6"/>
        <n v="0.61"/>
        <n v="4.78"/>
        <n v="1.22"/>
        <n v="0.81"/>
        <n v="0.41"/>
        <n v="1.73"/>
        <n v="11.14"/>
        <n v="2.59"/>
        <n v="4.6100000000000003"/>
        <n v="4.51"/>
        <n v="2.31"/>
        <n v="3.94"/>
        <n v="4.03"/>
        <n v="0.19"/>
        <n v="2.11"/>
        <n v="3.75"/>
        <n v="2.21"/>
        <n v="1.54"/>
        <n v="7.91"/>
        <n v="5.65"/>
        <n v="3.53"/>
        <n v="3.39"/>
        <n v="2.2599999999999998"/>
        <n v="2.4"/>
        <n v="0.85"/>
        <n v="1.41"/>
        <n v="10.48"/>
        <n v="5.7"/>
        <n v="4.04"/>
        <n v="0.18"/>
        <n v="2.94"/>
        <n v="3.31"/>
        <n v="1.47"/>
        <n v="2.76"/>
        <n v="2.7"/>
        <n v="5.78"/>
        <n v="5.39"/>
        <n v="1.1599999999999999"/>
        <n v="3.87"/>
        <n v="3.3"/>
        <n v="4.0199999999999996"/>
        <n v="3.73"/>
        <n v="2.44"/>
        <n v="1.43"/>
        <n v="6.76"/>
        <n v="3.15"/>
        <n v="4.28"/>
        <n v="2.93"/>
        <n v="1.35"/>
        <n v="1.1299999999999999"/>
        <n v="7.3"/>
        <n v="3.06"/>
        <n v="4.67"/>
        <n v="3.4"/>
        <n v="2.5499999999999998"/>
        <n v="1.53"/>
        <n v="2.38"/>
        <n v="2.04"/>
        <n v="1.7"/>
        <n v="6.18"/>
        <n v="4.42"/>
        <n v="3.96"/>
        <n v="3.23"/>
        <n v="0.92"/>
        <n v="1.38"/>
        <n v="10.49"/>
        <n v="4.9000000000000004"/>
        <n v="1.57"/>
        <n v="1.92"/>
        <n v="2.27"/>
        <n v="2.1"/>
        <n v="1.5"/>
        <n v="5.51"/>
        <n v="5.89"/>
        <n v="3.76"/>
        <n v="4.76"/>
        <n v="2.5099999999999998"/>
        <n v="1.88"/>
        <n v="18.29"/>
        <n v="6.78"/>
        <n v="3.49"/>
        <n v="2.06"/>
        <n v="0.82"/>
        <n v="6.9"/>
        <n v="2.72"/>
        <n v="5.86"/>
        <n v="1.67"/>
        <n v="3.56"/>
        <n v="0.42"/>
        <n v="6.41"/>
        <n v="2.89"/>
        <n v="3.79"/>
        <n v="1.17"/>
        <n v="1.08"/>
        <n v="0.09"/>
        <n v="5.83"/>
        <n v="5"/>
        <n v="6.25"/>
        <n v="2.92"/>
        <n v="8.24"/>
        <n v="4.3"/>
        <n v="4.66"/>
        <n v="10.83"/>
        <n v="7.32"/>
        <n v="6.05"/>
        <n v="6.37"/>
        <n v="5.41"/>
        <n v="2.23"/>
        <n v="1.91"/>
        <n v="3.24"/>
        <n v="0.93"/>
        <n v="10.54"/>
        <n v="5.0999999999999996"/>
        <n v="4.08"/>
        <n v="1.02"/>
        <n v="0.34"/>
        <n v="1.36"/>
        <n v="6.94"/>
        <n v="4.49"/>
        <n v="1.63"/>
        <n v="10.4"/>
        <n v="8.41"/>
        <n v="5.53"/>
        <n v="1.55"/>
        <n v="2.65"/>
        <n v="0.22"/>
        <n v="1.77"/>
        <n v="4.92"/>
        <n v="6.46"/>
        <n v="3.88"/>
        <n v="0.78"/>
        <n v="15.38"/>
        <n v="4.32"/>
        <n v="2.25"/>
        <n v="0.94"/>
        <n v="1.06"/>
        <n v="7.42"/>
        <n v="5.3"/>
        <n v="6.36"/>
        <n v="2.83"/>
        <n v="3.89"/>
      </sharedItems>
    </cacheField>
    <cacheField name="総数（法人）" numFmtId="0" sqlType="4">
      <sharedItems containsSemiMixedTypes="0" containsString="0" containsNumber="1" containsInteger="1" minValue="0" maxValue="3203" count="144">
        <n v="604"/>
        <n v="3203"/>
        <n v="222"/>
        <n v="499"/>
        <n v="642"/>
        <n v="307"/>
        <n v="146"/>
        <n v="201"/>
        <n v="795"/>
        <n v="74"/>
        <n v="1904"/>
        <n v="697"/>
        <n v="1557"/>
        <n v="582"/>
        <n v="1335"/>
        <n v="822"/>
        <n v="1242"/>
        <n v="986"/>
        <n v="400"/>
        <n v="873"/>
        <n v="1156"/>
        <n v="161"/>
        <n v="224"/>
        <n v="43"/>
        <n v="90"/>
        <n v="87"/>
        <n v="111"/>
        <n v="207"/>
        <n v="295"/>
        <n v="58"/>
        <n v="571"/>
        <n v="506"/>
        <n v="321"/>
        <n v="229"/>
        <n v="320"/>
        <n v="423"/>
        <n v="29"/>
        <n v="268"/>
        <n v="192"/>
        <n v="175"/>
        <n v="213"/>
        <n v="27"/>
        <n v="45"/>
        <n v="20"/>
        <n v="17"/>
        <n v="12"/>
        <n v="62"/>
        <n v="65"/>
        <n v="13"/>
        <n v="42"/>
        <n v="54"/>
        <n v="53"/>
        <n v="38"/>
        <n v="51"/>
        <n v="44"/>
        <n v="23"/>
        <n v="121"/>
        <n v="16"/>
        <n v="14"/>
        <n v="7"/>
        <n v="24"/>
        <n v="6"/>
        <n v="64"/>
        <n v="21"/>
        <n v="4"/>
        <n v="1"/>
        <n v="22"/>
        <n v="3"/>
        <n v="39"/>
        <n v="30"/>
        <n v="31"/>
        <n v="97"/>
        <n v="9"/>
        <n v="19"/>
        <n v="5"/>
        <n v="28"/>
        <n v="8"/>
        <n v="10"/>
        <n v="46"/>
        <n v="32"/>
        <n v="41"/>
        <n v="15"/>
        <n v="60"/>
        <n v="2"/>
        <n v="0"/>
        <n v="36"/>
        <n v="83"/>
        <n v="11"/>
        <n v="40"/>
        <n v="26"/>
        <n v="48"/>
        <n v="95"/>
        <n v="25"/>
        <n v="35"/>
        <n v="34"/>
        <n v="18"/>
        <n v="122"/>
        <n v="288"/>
        <n v="125"/>
        <n v="47"/>
        <n v="159"/>
        <n v="205"/>
        <n v="154"/>
        <n v="162"/>
        <n v="104"/>
        <n v="136"/>
        <n v="118"/>
        <n v="109"/>
        <n v="69"/>
        <n v="59"/>
        <n v="52"/>
        <n v="75"/>
        <n v="285"/>
        <n v="80"/>
        <n v="171"/>
        <n v="133"/>
        <n v="106"/>
        <n v="141"/>
        <n v="352"/>
        <n v="56"/>
        <n v="49"/>
        <n v="157"/>
        <n v="145"/>
        <n v="50"/>
        <n v="119"/>
        <n v="108"/>
        <n v="116"/>
        <n v="120"/>
        <n v="132"/>
        <n v="72"/>
        <n v="398"/>
        <n v="37"/>
        <n v="77"/>
        <n v="155"/>
        <n v="110"/>
        <n v="67"/>
        <n v="101"/>
        <n v="63"/>
        <n v="138"/>
        <n v="127"/>
        <n v="55"/>
        <n v="68"/>
        <n v="33"/>
        <n v="70"/>
      </sharedItems>
    </cacheField>
    <cacheField name="構成比（法人）" numFmtId="0" sqlType="3">
      <sharedItems containsSemiMixedTypes="0" containsString="0" containsNumber="1" minValue="0" maxValue="19.66" count="371">
        <n v="1.1100000000000001"/>
        <n v="5.88"/>
        <n v="0.41"/>
        <n v="0.92"/>
        <n v="1.18"/>
        <n v="0.56000000000000005"/>
        <n v="0.27"/>
        <n v="0.37"/>
        <n v="1.46"/>
        <n v="0.14000000000000001"/>
        <n v="3.49"/>
        <n v="1.28"/>
        <n v="2.86"/>
        <n v="1.07"/>
        <n v="2.4500000000000002"/>
        <n v="1.51"/>
        <n v="2.2799999999999998"/>
        <n v="1.81"/>
        <n v="0.73"/>
        <n v="1.6"/>
        <n v="6.42"/>
        <n v="0.89"/>
        <n v="1.24"/>
        <n v="0.24"/>
        <n v="0.5"/>
        <n v="0.48"/>
        <n v="0.62"/>
        <n v="1.1499999999999999"/>
        <n v="1.64"/>
        <n v="0.32"/>
        <n v="3.17"/>
        <n v="2.81"/>
        <n v="1.78"/>
        <n v="1.27"/>
        <n v="2.35"/>
        <n v="0.16"/>
        <n v="1.49"/>
        <n v="0.97"/>
        <n v="9.4600000000000009"/>
        <n v="1.2"/>
        <n v="2"/>
        <n v="0.76"/>
        <n v="0.53"/>
        <n v="2.75"/>
        <n v="2.89"/>
        <n v="0.57999999999999996"/>
        <n v="1.87"/>
        <n v="1.29"/>
        <n v="2.4"/>
        <n v="1.69"/>
        <n v="2.27"/>
        <n v="1.95"/>
        <n v="1.02"/>
        <n v="8.3699999999999992"/>
        <n v="1.66"/>
        <n v="0.42"/>
        <n v="4.43"/>
        <n v="1.59"/>
        <n v="1.45"/>
        <n v="0.28000000000000003"/>
        <n v="7.0000000000000007E-2"/>
        <n v="1.52"/>
        <n v="2.91"/>
        <n v="0.21"/>
        <n v="2.7"/>
        <n v="2.08"/>
        <n v="2.15"/>
        <n v="5.92"/>
        <n v="0.43"/>
        <n v="0.55000000000000004"/>
        <n v="1.1599999999999999"/>
        <n v="0.31"/>
        <n v="1.71"/>
        <n v="1.47"/>
        <n v="0.06"/>
        <n v="0.18"/>
        <n v="0.49"/>
        <n v="0.61"/>
        <n v="0.98"/>
        <n v="0.85"/>
        <n v="2.56"/>
        <n v="2.3199999999999998"/>
        <n v="1.83"/>
        <n v="2.5"/>
        <n v="0.46"/>
        <n v="0.77"/>
        <n v="4.63"/>
        <n v="1.08"/>
        <n v="0.08"/>
        <n v="1.54"/>
        <n v="0.15"/>
        <n v="0"/>
        <n v="0.23"/>
        <n v="0.93"/>
        <n v="0.69"/>
        <n v="2.78"/>
        <n v="1.62"/>
        <n v="2.2400000000000002"/>
        <n v="1.77"/>
        <n v="7.36"/>
        <n v="1.06"/>
        <n v="0.44"/>
        <n v="3.64"/>
        <n v="3.55"/>
        <n v="2.31"/>
        <n v="2.04"/>
        <n v="1.42"/>
        <n v="6.86"/>
        <n v="3.66"/>
        <n v="0.38"/>
        <n v="2.36"/>
        <n v="1.3"/>
        <n v="3.2"/>
        <n v="2.74"/>
        <n v="0.99"/>
        <n v="1.34"/>
        <n v="6.38"/>
        <n v="1.01"/>
        <n v="0.54"/>
        <n v="0.4"/>
        <n v="1.1399999999999999"/>
        <n v="1.68"/>
        <n v="2.96"/>
        <n v="1.55"/>
        <n v="2.5499999999999998"/>
        <n v="0.47"/>
        <n v="2.76"/>
        <n v="2.02"/>
        <n v="0.34"/>
        <n v="1.21"/>
        <n v="0.7"/>
        <n v="2.25"/>
        <n v="5.3"/>
        <n v="0.83"/>
        <n v="2.2999999999999998"/>
        <n v="0.86"/>
        <n v="2.93"/>
        <n v="3.77"/>
        <n v="0.28999999999999998"/>
        <n v="0.22"/>
        <n v="2.83"/>
        <n v="2.98"/>
        <n v="1.91"/>
        <n v="2.23"/>
        <n v="2.17"/>
        <n v="5.41"/>
        <n v="1.89"/>
        <n v="3.43"/>
        <n v="0.94"/>
        <n v="3.08"/>
        <n v="0.45"/>
        <n v="2.1800000000000002"/>
        <n v="2.58"/>
        <n v="1.99"/>
        <n v="0.2"/>
        <n v="0.6"/>
        <n v="3.52"/>
        <n v="4.9000000000000004"/>
        <n v="0.1"/>
        <n v="1.19"/>
        <n v="0.19"/>
        <n v="0.67"/>
        <n v="1.38"/>
        <n v="1.43"/>
        <n v="0.79"/>
        <n v="2.94"/>
        <n v="2.79"/>
        <n v="1.67"/>
        <n v="2.29"/>
        <n v="0.65"/>
        <n v="1.82"/>
        <n v="2.42"/>
        <n v="7.56"/>
        <n v="0.17"/>
        <n v="1.05"/>
        <n v="3.37"/>
        <n v="3.11"/>
        <n v="2.4900000000000002"/>
        <n v="0.13"/>
        <n v="1.22"/>
        <n v="6.46"/>
        <n v="0.39"/>
        <n v="0.64"/>
        <n v="3.67"/>
        <n v="1.37"/>
        <n v="0.78"/>
        <n v="1.86"/>
        <n v="1.96"/>
        <n v="9.6199999999999992"/>
        <n v="1.93"/>
        <n v="1.04"/>
        <n v="1.26"/>
        <n v="3.75"/>
        <n v="2.66"/>
        <n v="2.44"/>
        <n v="7.38"/>
        <n v="1.17"/>
        <n v="5.05"/>
        <n v="2.14"/>
        <n v="1.94"/>
        <n v="3.69"/>
        <n v="2.33"/>
        <n v="11.68"/>
        <n v="1.44"/>
        <n v="4.91"/>
        <n v="3.05"/>
        <n v="4.4000000000000004"/>
        <n v="4.4800000000000004"/>
        <n v="3.13"/>
        <n v="2.88"/>
        <n v="0.68"/>
        <n v="2.12"/>
        <n v="2.2000000000000002"/>
        <n v="7.51"/>
        <n v="0.12"/>
        <n v="0.3"/>
        <n v="0.71"/>
        <n v="3.25"/>
        <n v="3.07"/>
        <n v="2.72"/>
        <n v="1.1200000000000001"/>
        <n v="4.4400000000000004"/>
        <n v="2.59"/>
        <n v="3.33"/>
        <n v="0.74"/>
        <n v="3.7"/>
        <n v="1.85"/>
        <n v="1.32"/>
        <n v="1.1000000000000001"/>
        <n v="3.96"/>
        <n v="0.33"/>
        <n v="0.11"/>
        <n v="1.65"/>
        <n v="4.51"/>
        <n v="2.09"/>
        <n v="2.5299999999999998"/>
        <n v="1.76"/>
        <n v="1.1299999999999999"/>
        <n v="3.79"/>
        <n v="0.25"/>
        <n v="4.28"/>
        <n v="0.59"/>
        <n v="2.9"/>
        <n v="1.57"/>
        <n v="2.95"/>
        <n v="2.46"/>
        <n v="2.21"/>
        <n v="1.75"/>
        <n v="3.5"/>
        <n v="1"/>
        <n v="5"/>
        <n v="0.75"/>
        <n v="3"/>
        <n v="1.25"/>
        <n v="1.7"/>
        <n v="6.05"/>
        <n v="2.84"/>
        <n v="3.02"/>
        <n v="3.97"/>
        <n v="2.65"/>
        <n v="0.56999999999999995"/>
        <n v="9.14"/>
        <n v="5.17"/>
        <n v="1.48"/>
        <n v="4.04"/>
        <n v="2.38"/>
        <n v="4.62"/>
        <n v="5.03"/>
        <n v="1.0900000000000001"/>
        <n v="1.9"/>
        <n v="0.82"/>
        <n v="1.36"/>
        <n v="5.53"/>
        <n v="0.81"/>
        <n v="1.97"/>
        <n v="6.28"/>
        <n v="2.5099999999999998"/>
        <n v="3.95"/>
        <n v="4.57"/>
        <n v="0.36"/>
        <n v="3.68"/>
        <n v="0.09"/>
        <n v="0.9"/>
        <n v="3.28"/>
        <n v="0.87"/>
        <n v="3.71"/>
        <n v="4.37"/>
        <n v="0.66"/>
        <n v="6.55"/>
        <n v="4.46"/>
        <n v="0.52"/>
        <n v="2.1"/>
        <n v="4.96"/>
        <n v="1.98"/>
        <n v="1.79"/>
        <n v="1.39"/>
        <n v="7.35"/>
        <n v="1.23"/>
        <n v="1.72"/>
        <n v="3.19"/>
        <n v="4.5599999999999996"/>
        <n v="9.9600000000000009"/>
        <n v="3.32"/>
        <n v="2.0699999999999998"/>
        <n v="3.73"/>
        <n v="7.94"/>
        <n v="3.82"/>
        <n v="1.53"/>
        <n v="3.4"/>
        <n v="4.03"/>
        <n v="4.88"/>
        <n v="4.25"/>
        <n v="2.63"/>
        <n v="8.48"/>
        <n v="3.8"/>
        <n v="2.92"/>
        <n v="0.88"/>
        <n v="2.0499999999999998"/>
        <n v="11.03"/>
        <n v="0.51"/>
        <n v="1.03"/>
        <n v="2.82"/>
        <n v="0.26"/>
        <n v="3.85"/>
        <n v="11.21"/>
        <n v="10.28"/>
        <n v="2.34"/>
        <n v="1.4"/>
        <n v="3.04"/>
        <n v="5.07"/>
        <n v="3.38"/>
        <n v="0.72"/>
        <n v="1.73"/>
        <n v="6.92"/>
        <n v="0.8"/>
        <n v="3.86"/>
        <n v="2.13"/>
        <n v="7.41"/>
        <n v="14.41"/>
        <n v="1.35"/>
        <n v="4.5"/>
        <n v="1.8"/>
        <n v="5.81"/>
        <n v="6.1"/>
        <n v="2.62"/>
        <n v="2.0299999999999998"/>
        <n v="0.84"/>
        <n v="6.69"/>
        <n v="5.44"/>
        <n v="4.18"/>
        <n v="3.35"/>
        <n v="16.670000000000002"/>
        <n v="6.8"/>
        <n v="2.4300000000000002"/>
        <n v="13.83"/>
        <n v="4.26"/>
        <n v="4.66"/>
        <n v="6.45"/>
        <n v="3.58"/>
        <n v="3.94"/>
        <n v="3.23"/>
        <n v="2.87"/>
        <n v="9.01"/>
        <n v="3.6"/>
        <n v="16.57"/>
        <n v="5.49"/>
        <n v="15.85"/>
        <n v="4.2699999999999996"/>
        <n v="19.66"/>
        <n v="3.42"/>
        <n v="6.84"/>
      </sharedItems>
    </cacheField>
    <cacheField name="総数（法人以外の団体）" numFmtId="0" sqlType="4">
      <sharedItems containsSemiMixedTypes="0" containsString="0" containsNumber="1" containsInteger="1" minValue="0" maxValue="14" count="9">
        <n v="0"/>
        <n v="5"/>
        <n v="4"/>
        <n v="2"/>
        <n v="14"/>
        <n v="3"/>
        <n v="9"/>
        <n v="1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5">
  <r>
    <x v="0"/>
    <s v="兵庫県"/>
    <x v="0"/>
    <x v="0"/>
    <n v="8"/>
    <n v="0.01"/>
    <n v="1"/>
    <n v="0"/>
    <n v="7"/>
    <n v="0.01"/>
    <x v="0"/>
  </r>
  <r>
    <x v="0"/>
    <s v="兵庫県"/>
    <x v="0"/>
    <x v="1"/>
    <n v="13832"/>
    <n v="11.98"/>
    <n v="4220"/>
    <n v="7.04"/>
    <n v="9610"/>
    <n v="17.63"/>
    <x v="1"/>
  </r>
  <r>
    <x v="0"/>
    <s v="兵庫県"/>
    <x v="0"/>
    <x v="2"/>
    <n v="10428"/>
    <n v="9.0299999999999994"/>
    <n v="4523"/>
    <n v="7.54"/>
    <n v="5897"/>
    <n v="10.82"/>
    <x v="2"/>
  </r>
  <r>
    <x v="0"/>
    <s v="兵庫県"/>
    <x v="0"/>
    <x v="3"/>
    <n v="157"/>
    <n v="0.14000000000000001"/>
    <n v="3"/>
    <n v="0.01"/>
    <n v="147"/>
    <n v="0.27"/>
    <x v="0"/>
  </r>
  <r>
    <x v="0"/>
    <s v="兵庫県"/>
    <x v="0"/>
    <x v="4"/>
    <n v="1051"/>
    <n v="0.91"/>
    <n v="70"/>
    <n v="0.12"/>
    <n v="980"/>
    <n v="1.8"/>
    <x v="0"/>
  </r>
  <r>
    <x v="0"/>
    <s v="兵庫県"/>
    <x v="0"/>
    <x v="5"/>
    <n v="1358"/>
    <n v="1.18"/>
    <n v="215"/>
    <n v="0.36"/>
    <n v="1128"/>
    <n v="2.0699999999999998"/>
    <x v="3"/>
  </r>
  <r>
    <x v="0"/>
    <s v="兵庫県"/>
    <x v="0"/>
    <x v="6"/>
    <n v="26402"/>
    <n v="22.86"/>
    <n v="12815"/>
    <n v="21.38"/>
    <n v="13557"/>
    <n v="24.87"/>
    <x v="4"/>
  </r>
  <r>
    <x v="0"/>
    <s v="兵庫県"/>
    <x v="0"/>
    <x v="7"/>
    <n v="749"/>
    <n v="0.65"/>
    <n v="132"/>
    <n v="0.22"/>
    <n v="615"/>
    <n v="1.1299999999999999"/>
    <x v="5"/>
  </r>
  <r>
    <x v="0"/>
    <s v="兵庫県"/>
    <x v="0"/>
    <x v="8"/>
    <n v="11855"/>
    <n v="10.26"/>
    <n v="3151"/>
    <n v="5.26"/>
    <n v="8672"/>
    <n v="15.91"/>
    <x v="6"/>
  </r>
  <r>
    <x v="0"/>
    <s v="兵庫県"/>
    <x v="0"/>
    <x v="9"/>
    <n v="6575"/>
    <n v="5.69"/>
    <n v="3434"/>
    <n v="5.73"/>
    <n v="3109"/>
    <n v="5.7"/>
    <x v="7"/>
  </r>
  <r>
    <x v="0"/>
    <s v="兵庫県"/>
    <x v="0"/>
    <x v="10"/>
    <n v="15476"/>
    <n v="13.4"/>
    <n v="13288"/>
    <n v="22.17"/>
    <n v="2159"/>
    <n v="3.96"/>
    <x v="7"/>
  </r>
  <r>
    <x v="0"/>
    <s v="兵庫県"/>
    <x v="0"/>
    <x v="11"/>
    <n v="12972"/>
    <n v="11.23"/>
    <n v="9958"/>
    <n v="16.61"/>
    <n v="2945"/>
    <n v="5.4"/>
    <x v="8"/>
  </r>
  <r>
    <x v="0"/>
    <s v="兵庫県"/>
    <x v="0"/>
    <x v="12"/>
    <n v="4955"/>
    <n v="4.29"/>
    <n v="3313"/>
    <n v="5.53"/>
    <n v="1290"/>
    <n v="2.37"/>
    <x v="4"/>
  </r>
  <r>
    <x v="0"/>
    <s v="兵庫県"/>
    <x v="0"/>
    <x v="13"/>
    <n v="5836"/>
    <n v="5.05"/>
    <n v="3497"/>
    <n v="5.83"/>
    <n v="2050"/>
    <n v="3.76"/>
    <x v="7"/>
  </r>
  <r>
    <x v="0"/>
    <s v="兵庫県"/>
    <x v="0"/>
    <x v="14"/>
    <n v="3843"/>
    <n v="3.33"/>
    <n v="1330"/>
    <n v="2.2200000000000002"/>
    <n v="2346"/>
    <n v="4.3"/>
    <x v="9"/>
  </r>
  <r>
    <x v="0"/>
    <s v="神戸市"/>
    <x v="1"/>
    <x v="0"/>
    <n v="0"/>
    <n v="0"/>
    <n v="0"/>
    <n v="0"/>
    <n v="0"/>
    <n v="0"/>
    <x v="0"/>
  </r>
  <r>
    <x v="0"/>
    <s v="神戸市"/>
    <x v="1"/>
    <x v="1"/>
    <n v="2970"/>
    <n v="8.74"/>
    <n v="520"/>
    <n v="3.28"/>
    <n v="2448"/>
    <n v="13.6"/>
    <x v="1"/>
  </r>
  <r>
    <x v="0"/>
    <s v="神戸市"/>
    <x v="1"/>
    <x v="2"/>
    <n v="2363"/>
    <n v="6.95"/>
    <n v="872"/>
    <n v="5.49"/>
    <n v="1491"/>
    <n v="8.2799999999999994"/>
    <x v="0"/>
  </r>
  <r>
    <x v="0"/>
    <s v="神戸市"/>
    <x v="1"/>
    <x v="3"/>
    <n v="47"/>
    <n v="0.14000000000000001"/>
    <n v="0"/>
    <n v="0"/>
    <n v="47"/>
    <n v="0.26"/>
    <x v="0"/>
  </r>
  <r>
    <x v="0"/>
    <s v="神戸市"/>
    <x v="1"/>
    <x v="4"/>
    <n v="444"/>
    <n v="1.31"/>
    <n v="22"/>
    <n v="0.14000000000000001"/>
    <n v="422"/>
    <n v="2.34"/>
    <x v="0"/>
  </r>
  <r>
    <x v="0"/>
    <s v="神戸市"/>
    <x v="1"/>
    <x v="5"/>
    <n v="567"/>
    <n v="1.67"/>
    <n v="79"/>
    <n v="0.5"/>
    <n v="488"/>
    <n v="2.71"/>
    <x v="0"/>
  </r>
  <r>
    <x v="0"/>
    <s v="神戸市"/>
    <x v="1"/>
    <x v="6"/>
    <n v="7994"/>
    <n v="23.52"/>
    <n v="3155"/>
    <n v="19.88"/>
    <n v="4832"/>
    <n v="26.84"/>
    <x v="10"/>
  </r>
  <r>
    <x v="0"/>
    <s v="神戸市"/>
    <x v="1"/>
    <x v="7"/>
    <n v="230"/>
    <n v="0.68"/>
    <n v="17"/>
    <n v="0.11"/>
    <n v="213"/>
    <n v="1.18"/>
    <x v="0"/>
  </r>
  <r>
    <x v="0"/>
    <s v="神戸市"/>
    <x v="1"/>
    <x v="8"/>
    <n v="4072"/>
    <n v="11.98"/>
    <n v="930"/>
    <n v="5.86"/>
    <n v="3135"/>
    <n v="17.41"/>
    <x v="10"/>
  </r>
  <r>
    <x v="0"/>
    <s v="神戸市"/>
    <x v="1"/>
    <x v="9"/>
    <n v="2515"/>
    <n v="7.4"/>
    <n v="1222"/>
    <n v="7.7"/>
    <n v="1279"/>
    <n v="7.1"/>
    <x v="11"/>
  </r>
  <r>
    <x v="0"/>
    <s v="神戸市"/>
    <x v="1"/>
    <x v="10"/>
    <n v="5220"/>
    <n v="15.36"/>
    <n v="4432"/>
    <n v="27.92"/>
    <n v="786"/>
    <n v="4.37"/>
    <x v="0"/>
  </r>
  <r>
    <x v="0"/>
    <s v="神戸市"/>
    <x v="1"/>
    <x v="11"/>
    <n v="3361"/>
    <n v="9.89"/>
    <n v="2458"/>
    <n v="15.48"/>
    <n v="898"/>
    <n v="4.99"/>
    <x v="1"/>
  </r>
  <r>
    <x v="0"/>
    <s v="神戸市"/>
    <x v="1"/>
    <x v="12"/>
    <n v="1252"/>
    <n v="3.68"/>
    <n v="821"/>
    <n v="5.17"/>
    <n v="415"/>
    <n v="2.2999999999999998"/>
    <x v="12"/>
  </r>
  <r>
    <x v="0"/>
    <s v="神戸市"/>
    <x v="1"/>
    <x v="13"/>
    <n v="1745"/>
    <n v="5.13"/>
    <n v="1033"/>
    <n v="6.51"/>
    <n v="696"/>
    <n v="3.87"/>
    <x v="13"/>
  </r>
  <r>
    <x v="0"/>
    <s v="神戸市"/>
    <x v="1"/>
    <x v="14"/>
    <n v="1206"/>
    <n v="3.55"/>
    <n v="313"/>
    <n v="1.97"/>
    <n v="855"/>
    <n v="4.75"/>
    <x v="12"/>
  </r>
  <r>
    <x v="0"/>
    <s v="神戸市東灘区"/>
    <x v="2"/>
    <x v="0"/>
    <n v="0"/>
    <n v="0"/>
    <n v="0"/>
    <n v="0"/>
    <n v="0"/>
    <n v="0"/>
    <x v="0"/>
  </r>
  <r>
    <x v="0"/>
    <s v="神戸市東灘区"/>
    <x v="2"/>
    <x v="1"/>
    <n v="301"/>
    <n v="7.9"/>
    <n v="50"/>
    <n v="3.26"/>
    <n v="251"/>
    <n v="11.15"/>
    <x v="0"/>
  </r>
  <r>
    <x v="0"/>
    <s v="神戸市東灘区"/>
    <x v="2"/>
    <x v="2"/>
    <n v="156"/>
    <n v="4.0999999999999996"/>
    <n v="32"/>
    <n v="2.08"/>
    <n v="124"/>
    <n v="5.51"/>
    <x v="0"/>
  </r>
  <r>
    <x v="0"/>
    <s v="神戸市東灘区"/>
    <x v="2"/>
    <x v="3"/>
    <n v="6"/>
    <n v="0.16"/>
    <n v="0"/>
    <n v="0"/>
    <n v="6"/>
    <n v="0.27"/>
    <x v="0"/>
  </r>
  <r>
    <x v="0"/>
    <s v="神戸市東灘区"/>
    <x v="2"/>
    <x v="4"/>
    <n v="78"/>
    <n v="2.0499999999999998"/>
    <n v="1"/>
    <n v="7.0000000000000007E-2"/>
    <n v="77"/>
    <n v="3.42"/>
    <x v="0"/>
  </r>
  <r>
    <x v="0"/>
    <s v="神戸市東灘区"/>
    <x v="2"/>
    <x v="5"/>
    <n v="92"/>
    <n v="2.42"/>
    <n v="4"/>
    <n v="0.26"/>
    <n v="88"/>
    <n v="3.91"/>
    <x v="0"/>
  </r>
  <r>
    <x v="0"/>
    <s v="神戸市東灘区"/>
    <x v="2"/>
    <x v="6"/>
    <n v="853"/>
    <n v="22.4"/>
    <n v="314"/>
    <n v="20.46"/>
    <n v="536"/>
    <n v="23.81"/>
    <x v="14"/>
  </r>
  <r>
    <x v="0"/>
    <s v="神戸市東灘区"/>
    <x v="2"/>
    <x v="7"/>
    <n v="21"/>
    <n v="0.55000000000000004"/>
    <n v="3"/>
    <n v="0.2"/>
    <n v="18"/>
    <n v="0.8"/>
    <x v="0"/>
  </r>
  <r>
    <x v="0"/>
    <s v="神戸市東灘区"/>
    <x v="2"/>
    <x v="8"/>
    <n v="510"/>
    <n v="13.39"/>
    <n v="64"/>
    <n v="4.17"/>
    <n v="446"/>
    <n v="19.809999999999999"/>
    <x v="0"/>
  </r>
  <r>
    <x v="0"/>
    <s v="神戸市東灘区"/>
    <x v="2"/>
    <x v="9"/>
    <n v="306"/>
    <n v="8.0399999999999991"/>
    <n v="105"/>
    <n v="6.84"/>
    <n v="199"/>
    <n v="8.84"/>
    <x v="0"/>
  </r>
  <r>
    <x v="0"/>
    <s v="神戸市東灘区"/>
    <x v="2"/>
    <x v="10"/>
    <n v="461"/>
    <n v="12.11"/>
    <n v="361"/>
    <n v="23.52"/>
    <n v="100"/>
    <n v="4.4400000000000004"/>
    <x v="0"/>
  </r>
  <r>
    <x v="0"/>
    <s v="神戸市東灘区"/>
    <x v="2"/>
    <x v="11"/>
    <n v="419"/>
    <n v="11"/>
    <n v="287"/>
    <n v="18.7"/>
    <n v="132"/>
    <n v="5.86"/>
    <x v="0"/>
  </r>
  <r>
    <x v="0"/>
    <s v="神戸市東灘区"/>
    <x v="2"/>
    <x v="12"/>
    <n v="216"/>
    <n v="5.67"/>
    <n v="125"/>
    <n v="8.14"/>
    <n v="87"/>
    <n v="3.86"/>
    <x v="14"/>
  </r>
  <r>
    <x v="0"/>
    <s v="神戸市東灘区"/>
    <x v="2"/>
    <x v="13"/>
    <n v="223"/>
    <n v="5.86"/>
    <n v="148"/>
    <n v="9.64"/>
    <n v="74"/>
    <n v="3.29"/>
    <x v="0"/>
  </r>
  <r>
    <x v="0"/>
    <s v="神戸市東灘区"/>
    <x v="2"/>
    <x v="14"/>
    <n v="166"/>
    <n v="4.3600000000000003"/>
    <n v="41"/>
    <n v="2.67"/>
    <n v="113"/>
    <n v="5.0199999999999996"/>
    <x v="1"/>
  </r>
  <r>
    <x v="0"/>
    <s v="神戸市灘区"/>
    <x v="3"/>
    <x v="0"/>
    <n v="0"/>
    <n v="0"/>
    <n v="0"/>
    <n v="0"/>
    <n v="0"/>
    <n v="0"/>
    <x v="0"/>
  </r>
  <r>
    <x v="0"/>
    <s v="神戸市灘区"/>
    <x v="3"/>
    <x v="1"/>
    <n v="270"/>
    <n v="9.27"/>
    <n v="45"/>
    <n v="3.08"/>
    <n v="225"/>
    <n v="15.57"/>
    <x v="0"/>
  </r>
  <r>
    <x v="0"/>
    <s v="神戸市灘区"/>
    <x v="3"/>
    <x v="2"/>
    <n v="112"/>
    <n v="3.85"/>
    <n v="33"/>
    <n v="2.2599999999999998"/>
    <n v="79"/>
    <n v="5.47"/>
    <x v="0"/>
  </r>
  <r>
    <x v="0"/>
    <s v="神戸市灘区"/>
    <x v="3"/>
    <x v="3"/>
    <n v="3"/>
    <n v="0.1"/>
    <n v="0"/>
    <n v="0"/>
    <n v="3"/>
    <n v="0.21"/>
    <x v="0"/>
  </r>
  <r>
    <x v="0"/>
    <s v="神戸市灘区"/>
    <x v="3"/>
    <x v="4"/>
    <n v="30"/>
    <n v="1.03"/>
    <n v="1"/>
    <n v="7.0000000000000007E-2"/>
    <n v="29"/>
    <n v="2.0099999999999998"/>
    <x v="0"/>
  </r>
  <r>
    <x v="0"/>
    <s v="神戸市灘区"/>
    <x v="3"/>
    <x v="5"/>
    <n v="41"/>
    <n v="1.41"/>
    <n v="3"/>
    <n v="0.21"/>
    <n v="38"/>
    <n v="2.63"/>
    <x v="0"/>
  </r>
  <r>
    <x v="0"/>
    <s v="神戸市灘区"/>
    <x v="3"/>
    <x v="6"/>
    <n v="669"/>
    <n v="22.97"/>
    <n v="342"/>
    <n v="23.39"/>
    <n v="327"/>
    <n v="22.63"/>
    <x v="0"/>
  </r>
  <r>
    <x v="0"/>
    <s v="神戸市灘区"/>
    <x v="3"/>
    <x v="7"/>
    <n v="11"/>
    <n v="0.38"/>
    <n v="0"/>
    <n v="0"/>
    <n v="11"/>
    <n v="0.76"/>
    <x v="0"/>
  </r>
  <r>
    <x v="0"/>
    <s v="神戸市灘区"/>
    <x v="3"/>
    <x v="8"/>
    <n v="383"/>
    <n v="13.15"/>
    <n v="70"/>
    <n v="4.79"/>
    <n v="313"/>
    <n v="21.66"/>
    <x v="0"/>
  </r>
  <r>
    <x v="0"/>
    <s v="神戸市灘区"/>
    <x v="3"/>
    <x v="9"/>
    <n v="149"/>
    <n v="5.12"/>
    <n v="65"/>
    <n v="4.45"/>
    <n v="84"/>
    <n v="5.81"/>
    <x v="0"/>
  </r>
  <r>
    <x v="0"/>
    <s v="神戸市灘区"/>
    <x v="3"/>
    <x v="10"/>
    <n v="467"/>
    <n v="16.04"/>
    <n v="404"/>
    <n v="27.63"/>
    <n v="63"/>
    <n v="4.3600000000000003"/>
    <x v="0"/>
  </r>
  <r>
    <x v="0"/>
    <s v="神戸市灘区"/>
    <x v="3"/>
    <x v="11"/>
    <n v="361"/>
    <n v="12.4"/>
    <n v="279"/>
    <n v="19.079999999999998"/>
    <n v="82"/>
    <n v="5.67"/>
    <x v="0"/>
  </r>
  <r>
    <x v="0"/>
    <s v="神戸市灘区"/>
    <x v="3"/>
    <x v="12"/>
    <n v="122"/>
    <n v="4.1900000000000004"/>
    <n v="72"/>
    <n v="4.92"/>
    <n v="50"/>
    <n v="3.46"/>
    <x v="0"/>
  </r>
  <r>
    <x v="0"/>
    <s v="神戸市灘区"/>
    <x v="3"/>
    <x v="13"/>
    <n v="183"/>
    <n v="6.28"/>
    <n v="119"/>
    <n v="8.14"/>
    <n v="63"/>
    <n v="4.3600000000000003"/>
    <x v="0"/>
  </r>
  <r>
    <x v="0"/>
    <s v="神戸市灘区"/>
    <x v="3"/>
    <x v="14"/>
    <n v="111"/>
    <n v="3.81"/>
    <n v="29"/>
    <n v="1.98"/>
    <n v="78"/>
    <n v="5.4"/>
    <x v="0"/>
  </r>
  <r>
    <x v="0"/>
    <s v="神戸市兵庫区"/>
    <x v="4"/>
    <x v="0"/>
    <n v="0"/>
    <n v="0"/>
    <n v="0"/>
    <n v="0"/>
    <n v="0"/>
    <n v="0"/>
    <x v="0"/>
  </r>
  <r>
    <x v="0"/>
    <s v="神戸市兵庫区"/>
    <x v="4"/>
    <x v="1"/>
    <n v="332"/>
    <n v="9.07"/>
    <n v="64"/>
    <n v="3.17"/>
    <n v="268"/>
    <n v="16.36"/>
    <x v="0"/>
  </r>
  <r>
    <x v="0"/>
    <s v="神戸市兵庫区"/>
    <x v="4"/>
    <x v="2"/>
    <n v="373"/>
    <n v="10.19"/>
    <n v="118"/>
    <n v="5.85"/>
    <n v="255"/>
    <n v="15.57"/>
    <x v="0"/>
  </r>
  <r>
    <x v="0"/>
    <s v="神戸市兵庫区"/>
    <x v="4"/>
    <x v="3"/>
    <n v="2"/>
    <n v="0.05"/>
    <n v="0"/>
    <n v="0"/>
    <n v="2"/>
    <n v="0.12"/>
    <x v="0"/>
  </r>
  <r>
    <x v="0"/>
    <s v="神戸市兵庫区"/>
    <x v="4"/>
    <x v="4"/>
    <n v="33"/>
    <n v="0.9"/>
    <n v="4"/>
    <n v="0.2"/>
    <n v="29"/>
    <n v="1.77"/>
    <x v="0"/>
  </r>
  <r>
    <x v="0"/>
    <s v="神戸市兵庫区"/>
    <x v="4"/>
    <x v="5"/>
    <n v="40"/>
    <n v="1.0900000000000001"/>
    <n v="6"/>
    <n v="0.3"/>
    <n v="34"/>
    <n v="2.08"/>
    <x v="0"/>
  </r>
  <r>
    <x v="0"/>
    <s v="神戸市兵庫区"/>
    <x v="4"/>
    <x v="6"/>
    <n v="963"/>
    <n v="26.3"/>
    <n v="506"/>
    <n v="25.1"/>
    <n v="457"/>
    <n v="27.9"/>
    <x v="0"/>
  </r>
  <r>
    <x v="0"/>
    <s v="神戸市兵庫区"/>
    <x v="4"/>
    <x v="7"/>
    <n v="14"/>
    <n v="0.38"/>
    <n v="2"/>
    <n v="0.1"/>
    <n v="12"/>
    <n v="0.73"/>
    <x v="0"/>
  </r>
  <r>
    <x v="0"/>
    <s v="神戸市兵庫区"/>
    <x v="4"/>
    <x v="8"/>
    <n v="424"/>
    <n v="11.58"/>
    <n v="163"/>
    <n v="8.09"/>
    <n v="260"/>
    <n v="15.87"/>
    <x v="5"/>
  </r>
  <r>
    <x v="0"/>
    <s v="神戸市兵庫区"/>
    <x v="4"/>
    <x v="9"/>
    <n v="157"/>
    <n v="4.29"/>
    <n v="95"/>
    <n v="4.71"/>
    <n v="61"/>
    <n v="3.72"/>
    <x v="0"/>
  </r>
  <r>
    <x v="0"/>
    <s v="神戸市兵庫区"/>
    <x v="4"/>
    <x v="10"/>
    <n v="674"/>
    <n v="18.41"/>
    <n v="615"/>
    <n v="30.51"/>
    <n v="59"/>
    <n v="3.6"/>
    <x v="0"/>
  </r>
  <r>
    <x v="0"/>
    <s v="神戸市兵庫区"/>
    <x v="4"/>
    <x v="11"/>
    <n v="330"/>
    <n v="9.01"/>
    <n v="262"/>
    <n v="13"/>
    <n v="67"/>
    <n v="4.09"/>
    <x v="5"/>
  </r>
  <r>
    <x v="0"/>
    <s v="神戸市兵庫区"/>
    <x v="4"/>
    <x v="12"/>
    <n v="59"/>
    <n v="1.61"/>
    <n v="48"/>
    <n v="2.38"/>
    <n v="10"/>
    <n v="0.61"/>
    <x v="5"/>
  </r>
  <r>
    <x v="0"/>
    <s v="神戸市兵庫区"/>
    <x v="4"/>
    <x v="13"/>
    <n v="157"/>
    <n v="4.29"/>
    <n v="97"/>
    <n v="4.8099999999999996"/>
    <n v="59"/>
    <n v="3.6"/>
    <x v="0"/>
  </r>
  <r>
    <x v="0"/>
    <s v="神戸市兵庫区"/>
    <x v="4"/>
    <x v="14"/>
    <n v="104"/>
    <n v="2.84"/>
    <n v="36"/>
    <n v="1.79"/>
    <n v="65"/>
    <n v="3.97"/>
    <x v="1"/>
  </r>
  <r>
    <x v="0"/>
    <s v="神戸市長田区"/>
    <x v="5"/>
    <x v="0"/>
    <n v="0"/>
    <n v="0"/>
    <n v="0"/>
    <n v="0"/>
    <n v="0"/>
    <n v="0"/>
    <x v="0"/>
  </r>
  <r>
    <x v="0"/>
    <s v="神戸市長田区"/>
    <x v="5"/>
    <x v="1"/>
    <n v="266"/>
    <n v="8.31"/>
    <n v="75"/>
    <n v="3.95"/>
    <n v="191"/>
    <n v="14.74"/>
    <x v="0"/>
  </r>
  <r>
    <x v="0"/>
    <s v="神戸市長田区"/>
    <x v="5"/>
    <x v="2"/>
    <n v="678"/>
    <n v="21.17"/>
    <n v="392"/>
    <n v="20.63"/>
    <n v="286"/>
    <n v="22.07"/>
    <x v="0"/>
  </r>
  <r>
    <x v="0"/>
    <s v="神戸市長田区"/>
    <x v="5"/>
    <x v="3"/>
    <n v="0"/>
    <n v="0"/>
    <n v="0"/>
    <n v="0"/>
    <n v="0"/>
    <n v="0"/>
    <x v="0"/>
  </r>
  <r>
    <x v="0"/>
    <s v="神戸市長田区"/>
    <x v="5"/>
    <x v="4"/>
    <n v="9"/>
    <n v="0.28000000000000003"/>
    <n v="0"/>
    <n v="0"/>
    <n v="9"/>
    <n v="0.69"/>
    <x v="0"/>
  </r>
  <r>
    <x v="0"/>
    <s v="神戸市長田区"/>
    <x v="5"/>
    <x v="5"/>
    <n v="33"/>
    <n v="1.03"/>
    <n v="13"/>
    <n v="0.68"/>
    <n v="20"/>
    <n v="1.54"/>
    <x v="0"/>
  </r>
  <r>
    <x v="0"/>
    <s v="神戸市長田区"/>
    <x v="5"/>
    <x v="6"/>
    <n v="746"/>
    <n v="23.3"/>
    <n v="393"/>
    <n v="20.68"/>
    <n v="353"/>
    <n v="27.24"/>
    <x v="0"/>
  </r>
  <r>
    <x v="0"/>
    <s v="神戸市長田区"/>
    <x v="5"/>
    <x v="7"/>
    <n v="9"/>
    <n v="0.28000000000000003"/>
    <n v="0"/>
    <n v="0"/>
    <n v="9"/>
    <n v="0.69"/>
    <x v="0"/>
  </r>
  <r>
    <x v="0"/>
    <s v="神戸市長田区"/>
    <x v="5"/>
    <x v="8"/>
    <n v="292"/>
    <n v="9.1199999999999992"/>
    <n v="121"/>
    <n v="6.37"/>
    <n v="171"/>
    <n v="13.19"/>
    <x v="0"/>
  </r>
  <r>
    <x v="0"/>
    <s v="神戸市長田区"/>
    <x v="5"/>
    <x v="9"/>
    <n v="108"/>
    <n v="3.37"/>
    <n v="52"/>
    <n v="2.74"/>
    <n v="56"/>
    <n v="4.32"/>
    <x v="0"/>
  </r>
  <r>
    <x v="0"/>
    <s v="神戸市長田区"/>
    <x v="5"/>
    <x v="10"/>
    <n v="463"/>
    <n v="14.46"/>
    <n v="431"/>
    <n v="22.68"/>
    <n v="32"/>
    <n v="2.4700000000000002"/>
    <x v="0"/>
  </r>
  <r>
    <x v="0"/>
    <s v="神戸市長田区"/>
    <x v="5"/>
    <x v="11"/>
    <n v="291"/>
    <n v="9.09"/>
    <n v="246"/>
    <n v="12.95"/>
    <n v="45"/>
    <n v="3.47"/>
    <x v="0"/>
  </r>
  <r>
    <x v="0"/>
    <s v="神戸市長田区"/>
    <x v="5"/>
    <x v="12"/>
    <n v="58"/>
    <n v="1.81"/>
    <n v="48"/>
    <n v="2.5299999999999998"/>
    <n v="8"/>
    <n v="0.62"/>
    <x v="1"/>
  </r>
  <r>
    <x v="0"/>
    <s v="神戸市長田区"/>
    <x v="5"/>
    <x v="13"/>
    <n v="169"/>
    <n v="5.28"/>
    <n v="98"/>
    <n v="5.16"/>
    <n v="70"/>
    <n v="5.4"/>
    <x v="0"/>
  </r>
  <r>
    <x v="0"/>
    <s v="神戸市長田区"/>
    <x v="5"/>
    <x v="14"/>
    <n v="80"/>
    <n v="2.5"/>
    <n v="31"/>
    <n v="1.63"/>
    <n v="46"/>
    <n v="3.55"/>
    <x v="5"/>
  </r>
  <r>
    <x v="0"/>
    <s v="神戸市須磨区"/>
    <x v="6"/>
    <x v="0"/>
    <n v="0"/>
    <n v="0"/>
    <n v="0"/>
    <n v="0"/>
    <n v="0"/>
    <n v="0"/>
    <x v="0"/>
  </r>
  <r>
    <x v="0"/>
    <s v="神戸市須磨区"/>
    <x v="6"/>
    <x v="1"/>
    <n v="226"/>
    <n v="10.039999999999999"/>
    <n v="54"/>
    <n v="4.82"/>
    <n v="172"/>
    <n v="15.26"/>
    <x v="0"/>
  </r>
  <r>
    <x v="0"/>
    <s v="神戸市須磨区"/>
    <x v="6"/>
    <x v="2"/>
    <n v="147"/>
    <n v="6.53"/>
    <n v="74"/>
    <n v="6.61"/>
    <n v="73"/>
    <n v="6.48"/>
    <x v="0"/>
  </r>
  <r>
    <x v="0"/>
    <s v="神戸市須磨区"/>
    <x v="6"/>
    <x v="3"/>
    <n v="3"/>
    <n v="0.13"/>
    <n v="0"/>
    <n v="0"/>
    <n v="3"/>
    <n v="0.27"/>
    <x v="0"/>
  </r>
  <r>
    <x v="0"/>
    <s v="神戸市須磨区"/>
    <x v="6"/>
    <x v="4"/>
    <n v="30"/>
    <n v="1.33"/>
    <n v="1"/>
    <n v="0.09"/>
    <n v="29"/>
    <n v="2.57"/>
    <x v="0"/>
  </r>
  <r>
    <x v="0"/>
    <s v="神戸市須磨区"/>
    <x v="6"/>
    <x v="5"/>
    <n v="47"/>
    <n v="2.09"/>
    <n v="17"/>
    <n v="1.52"/>
    <n v="30"/>
    <n v="2.66"/>
    <x v="0"/>
  </r>
  <r>
    <x v="0"/>
    <s v="神戸市須磨区"/>
    <x v="6"/>
    <x v="6"/>
    <n v="502"/>
    <n v="22.31"/>
    <n v="212"/>
    <n v="18.93"/>
    <n v="290"/>
    <n v="25.73"/>
    <x v="0"/>
  </r>
  <r>
    <x v="0"/>
    <s v="神戸市須磨区"/>
    <x v="6"/>
    <x v="7"/>
    <n v="11"/>
    <n v="0.49"/>
    <n v="2"/>
    <n v="0.18"/>
    <n v="9"/>
    <n v="0.8"/>
    <x v="0"/>
  </r>
  <r>
    <x v="0"/>
    <s v="神戸市須磨区"/>
    <x v="6"/>
    <x v="8"/>
    <n v="301"/>
    <n v="13.38"/>
    <n v="74"/>
    <n v="6.61"/>
    <n v="227"/>
    <n v="20.14"/>
    <x v="0"/>
  </r>
  <r>
    <x v="0"/>
    <s v="神戸市須磨区"/>
    <x v="6"/>
    <x v="9"/>
    <n v="132"/>
    <n v="5.87"/>
    <n v="55"/>
    <n v="4.91"/>
    <n v="76"/>
    <n v="6.74"/>
    <x v="0"/>
  </r>
  <r>
    <x v="0"/>
    <s v="神戸市須磨区"/>
    <x v="6"/>
    <x v="10"/>
    <n v="309"/>
    <n v="13.73"/>
    <n v="269"/>
    <n v="24.02"/>
    <n v="40"/>
    <n v="3.55"/>
    <x v="0"/>
  </r>
  <r>
    <x v="0"/>
    <s v="神戸市須磨区"/>
    <x v="6"/>
    <x v="11"/>
    <n v="237"/>
    <n v="10.53"/>
    <n v="186"/>
    <n v="16.61"/>
    <n v="51"/>
    <n v="4.53"/>
    <x v="0"/>
  </r>
  <r>
    <x v="0"/>
    <s v="神戸市須磨区"/>
    <x v="6"/>
    <x v="12"/>
    <n v="95"/>
    <n v="4.22"/>
    <n v="70"/>
    <n v="6.25"/>
    <n v="24"/>
    <n v="2.13"/>
    <x v="5"/>
  </r>
  <r>
    <x v="0"/>
    <s v="神戸市須磨区"/>
    <x v="6"/>
    <x v="13"/>
    <n v="145"/>
    <n v="6.44"/>
    <n v="87"/>
    <n v="7.77"/>
    <n v="57"/>
    <n v="5.0599999999999996"/>
    <x v="0"/>
  </r>
  <r>
    <x v="0"/>
    <s v="神戸市須磨区"/>
    <x v="6"/>
    <x v="14"/>
    <n v="65"/>
    <n v="2.89"/>
    <n v="19"/>
    <n v="1.7"/>
    <n v="46"/>
    <n v="4.08"/>
    <x v="0"/>
  </r>
  <r>
    <x v="0"/>
    <s v="神戸市垂水区"/>
    <x v="7"/>
    <x v="0"/>
    <n v="0"/>
    <n v="0"/>
    <n v="0"/>
    <n v="0"/>
    <n v="0"/>
    <n v="0"/>
    <x v="0"/>
  </r>
  <r>
    <x v="0"/>
    <s v="神戸市垂水区"/>
    <x v="7"/>
    <x v="1"/>
    <n v="281"/>
    <n v="10.94"/>
    <n v="52"/>
    <n v="4.16"/>
    <n v="229"/>
    <n v="17.45"/>
    <x v="0"/>
  </r>
  <r>
    <x v="0"/>
    <s v="神戸市垂水区"/>
    <x v="7"/>
    <x v="2"/>
    <n v="74"/>
    <n v="2.88"/>
    <n v="30"/>
    <n v="2.4"/>
    <n v="44"/>
    <n v="3.35"/>
    <x v="0"/>
  </r>
  <r>
    <x v="0"/>
    <s v="神戸市垂水区"/>
    <x v="7"/>
    <x v="3"/>
    <n v="2"/>
    <n v="0.08"/>
    <n v="0"/>
    <n v="0"/>
    <n v="2"/>
    <n v="0.15"/>
    <x v="0"/>
  </r>
  <r>
    <x v="0"/>
    <s v="神戸市垂水区"/>
    <x v="7"/>
    <x v="4"/>
    <n v="25"/>
    <n v="0.97"/>
    <n v="0"/>
    <n v="0"/>
    <n v="25"/>
    <n v="1.91"/>
    <x v="0"/>
  </r>
  <r>
    <x v="0"/>
    <s v="神戸市垂水区"/>
    <x v="7"/>
    <x v="5"/>
    <n v="22"/>
    <n v="0.86"/>
    <n v="3"/>
    <n v="0.24"/>
    <n v="19"/>
    <n v="1.45"/>
    <x v="0"/>
  </r>
  <r>
    <x v="0"/>
    <s v="神戸市垂水区"/>
    <x v="7"/>
    <x v="6"/>
    <n v="593"/>
    <n v="23.09"/>
    <n v="264"/>
    <n v="21.14"/>
    <n v="329"/>
    <n v="25.08"/>
    <x v="0"/>
  </r>
  <r>
    <x v="0"/>
    <s v="神戸市垂水区"/>
    <x v="7"/>
    <x v="7"/>
    <n v="27"/>
    <n v="1.05"/>
    <n v="1"/>
    <n v="0.08"/>
    <n v="26"/>
    <n v="1.98"/>
    <x v="0"/>
  </r>
  <r>
    <x v="0"/>
    <s v="神戸市垂水区"/>
    <x v="7"/>
    <x v="8"/>
    <n v="350"/>
    <n v="13.63"/>
    <n v="74"/>
    <n v="5.92"/>
    <n v="274"/>
    <n v="20.88"/>
    <x v="1"/>
  </r>
  <r>
    <x v="0"/>
    <s v="神戸市垂水区"/>
    <x v="7"/>
    <x v="9"/>
    <n v="130"/>
    <n v="5.0599999999999996"/>
    <n v="62"/>
    <n v="4.96"/>
    <n v="68"/>
    <n v="5.18"/>
    <x v="0"/>
  </r>
  <r>
    <x v="0"/>
    <s v="神戸市垂水区"/>
    <x v="7"/>
    <x v="10"/>
    <n v="285"/>
    <n v="11.1"/>
    <n v="239"/>
    <n v="19.14"/>
    <n v="45"/>
    <n v="3.43"/>
    <x v="0"/>
  </r>
  <r>
    <x v="0"/>
    <s v="神戸市垂水区"/>
    <x v="7"/>
    <x v="11"/>
    <n v="371"/>
    <n v="14.45"/>
    <n v="297"/>
    <n v="23.78"/>
    <n v="74"/>
    <n v="5.64"/>
    <x v="0"/>
  </r>
  <r>
    <x v="0"/>
    <s v="神戸市垂水区"/>
    <x v="7"/>
    <x v="12"/>
    <n v="157"/>
    <n v="6.11"/>
    <n v="114"/>
    <n v="9.1300000000000008"/>
    <n v="42"/>
    <n v="3.2"/>
    <x v="5"/>
  </r>
  <r>
    <x v="0"/>
    <s v="神戸市垂水区"/>
    <x v="7"/>
    <x v="13"/>
    <n v="185"/>
    <n v="7.2"/>
    <n v="90"/>
    <n v="7.21"/>
    <n v="94"/>
    <n v="7.16"/>
    <x v="0"/>
  </r>
  <r>
    <x v="0"/>
    <s v="神戸市垂水区"/>
    <x v="7"/>
    <x v="14"/>
    <n v="66"/>
    <n v="2.57"/>
    <n v="23"/>
    <n v="1.84"/>
    <n v="41"/>
    <n v="3.13"/>
    <x v="0"/>
  </r>
  <r>
    <x v="0"/>
    <s v="神戸市北区"/>
    <x v="8"/>
    <x v="0"/>
    <n v="0"/>
    <n v="0"/>
    <n v="0"/>
    <n v="0"/>
    <n v="0"/>
    <n v="0"/>
    <x v="0"/>
  </r>
  <r>
    <x v="0"/>
    <s v="神戸市北区"/>
    <x v="8"/>
    <x v="1"/>
    <n v="344"/>
    <n v="12.94"/>
    <n v="69"/>
    <n v="5.94"/>
    <n v="275"/>
    <n v="18.48"/>
    <x v="0"/>
  </r>
  <r>
    <x v="0"/>
    <s v="神戸市北区"/>
    <x v="8"/>
    <x v="2"/>
    <n v="125"/>
    <n v="4.7"/>
    <n v="37"/>
    <n v="3.19"/>
    <n v="88"/>
    <n v="5.91"/>
    <x v="0"/>
  </r>
  <r>
    <x v="0"/>
    <s v="神戸市北区"/>
    <x v="8"/>
    <x v="3"/>
    <n v="9"/>
    <n v="0.34"/>
    <n v="0"/>
    <n v="0"/>
    <n v="9"/>
    <n v="0.6"/>
    <x v="0"/>
  </r>
  <r>
    <x v="0"/>
    <s v="神戸市北区"/>
    <x v="8"/>
    <x v="4"/>
    <n v="36"/>
    <n v="1.35"/>
    <n v="1"/>
    <n v="0.09"/>
    <n v="35"/>
    <n v="2.35"/>
    <x v="0"/>
  </r>
  <r>
    <x v="0"/>
    <s v="神戸市北区"/>
    <x v="8"/>
    <x v="5"/>
    <n v="33"/>
    <n v="1.24"/>
    <n v="14"/>
    <n v="1.21"/>
    <n v="19"/>
    <n v="1.28"/>
    <x v="0"/>
  </r>
  <r>
    <x v="0"/>
    <s v="神戸市北区"/>
    <x v="8"/>
    <x v="6"/>
    <n v="608"/>
    <n v="22.87"/>
    <n v="210"/>
    <n v="18.09"/>
    <n v="397"/>
    <n v="26.68"/>
    <x v="5"/>
  </r>
  <r>
    <x v="0"/>
    <s v="神戸市北区"/>
    <x v="8"/>
    <x v="7"/>
    <n v="20"/>
    <n v="0.75"/>
    <n v="1"/>
    <n v="0.09"/>
    <n v="19"/>
    <n v="1.28"/>
    <x v="0"/>
  </r>
  <r>
    <x v="0"/>
    <s v="神戸市北区"/>
    <x v="8"/>
    <x v="8"/>
    <n v="280"/>
    <n v="10.53"/>
    <n v="58"/>
    <n v="5"/>
    <n v="222"/>
    <n v="14.92"/>
    <x v="0"/>
  </r>
  <r>
    <x v="0"/>
    <s v="神戸市北区"/>
    <x v="8"/>
    <x v="9"/>
    <n v="142"/>
    <n v="5.34"/>
    <n v="44"/>
    <n v="3.79"/>
    <n v="97"/>
    <n v="6.52"/>
    <x v="0"/>
  </r>
  <r>
    <x v="0"/>
    <s v="神戸市北区"/>
    <x v="8"/>
    <x v="10"/>
    <n v="261"/>
    <n v="9.82"/>
    <n v="217"/>
    <n v="18.690000000000001"/>
    <n v="43"/>
    <n v="2.89"/>
    <x v="0"/>
  </r>
  <r>
    <x v="0"/>
    <s v="神戸市北区"/>
    <x v="8"/>
    <x v="11"/>
    <n v="355"/>
    <n v="13.36"/>
    <n v="248"/>
    <n v="21.36"/>
    <n v="107"/>
    <n v="7.19"/>
    <x v="0"/>
  </r>
  <r>
    <x v="0"/>
    <s v="神戸市北区"/>
    <x v="8"/>
    <x v="12"/>
    <n v="175"/>
    <n v="6.58"/>
    <n v="138"/>
    <n v="11.89"/>
    <n v="35"/>
    <n v="2.35"/>
    <x v="5"/>
  </r>
  <r>
    <x v="0"/>
    <s v="神戸市北区"/>
    <x v="8"/>
    <x v="13"/>
    <n v="179"/>
    <n v="6.73"/>
    <n v="104"/>
    <n v="8.9600000000000009"/>
    <n v="73"/>
    <n v="4.91"/>
    <x v="0"/>
  </r>
  <r>
    <x v="0"/>
    <s v="神戸市北区"/>
    <x v="8"/>
    <x v="14"/>
    <n v="91"/>
    <n v="3.42"/>
    <n v="20"/>
    <n v="1.72"/>
    <n v="69"/>
    <n v="4.6399999999999997"/>
    <x v="1"/>
  </r>
  <r>
    <x v="0"/>
    <s v="神戸市中央区"/>
    <x v="9"/>
    <x v="0"/>
    <n v="0"/>
    <n v="0"/>
    <n v="0"/>
    <n v="0"/>
    <n v="0"/>
    <n v="0"/>
    <x v="0"/>
  </r>
  <r>
    <x v="0"/>
    <s v="神戸市中央区"/>
    <x v="9"/>
    <x v="1"/>
    <n v="463"/>
    <n v="4.7"/>
    <n v="28"/>
    <n v="0.64"/>
    <n v="433"/>
    <n v="7.97"/>
    <x v="1"/>
  </r>
  <r>
    <x v="0"/>
    <s v="神戸市中央区"/>
    <x v="9"/>
    <x v="2"/>
    <n v="301"/>
    <n v="3.05"/>
    <n v="67"/>
    <n v="1.53"/>
    <n v="234"/>
    <n v="4.3099999999999996"/>
    <x v="0"/>
  </r>
  <r>
    <x v="0"/>
    <s v="神戸市中央区"/>
    <x v="9"/>
    <x v="3"/>
    <n v="9"/>
    <n v="0.09"/>
    <n v="0"/>
    <n v="0"/>
    <n v="9"/>
    <n v="0.17"/>
    <x v="0"/>
  </r>
  <r>
    <x v="0"/>
    <s v="神戸市中央区"/>
    <x v="9"/>
    <x v="4"/>
    <n v="177"/>
    <n v="1.8"/>
    <n v="12"/>
    <n v="0.27"/>
    <n v="165"/>
    <n v="3.04"/>
    <x v="0"/>
  </r>
  <r>
    <x v="0"/>
    <s v="神戸市中央区"/>
    <x v="9"/>
    <x v="5"/>
    <n v="190"/>
    <n v="1.93"/>
    <n v="5"/>
    <n v="0.11"/>
    <n v="185"/>
    <n v="3.4"/>
    <x v="0"/>
  </r>
  <r>
    <x v="0"/>
    <s v="神戸市中央区"/>
    <x v="9"/>
    <x v="6"/>
    <n v="2415"/>
    <n v="24.5"/>
    <n v="699"/>
    <n v="15.93"/>
    <n v="1714"/>
    <n v="31.54"/>
    <x v="1"/>
  </r>
  <r>
    <x v="0"/>
    <s v="神戸市中央区"/>
    <x v="9"/>
    <x v="7"/>
    <n v="86"/>
    <n v="0.87"/>
    <n v="6"/>
    <n v="0.14000000000000001"/>
    <n v="80"/>
    <n v="1.47"/>
    <x v="0"/>
  </r>
  <r>
    <x v="0"/>
    <s v="神戸市中央区"/>
    <x v="9"/>
    <x v="8"/>
    <n v="1151"/>
    <n v="11.68"/>
    <n v="222"/>
    <n v="5.0599999999999996"/>
    <n v="925"/>
    <n v="17.02"/>
    <x v="15"/>
  </r>
  <r>
    <x v="0"/>
    <s v="神戸市中央区"/>
    <x v="9"/>
    <x v="9"/>
    <n v="1240"/>
    <n v="12.58"/>
    <n v="693"/>
    <n v="15.8"/>
    <n v="539"/>
    <n v="9.92"/>
    <x v="11"/>
  </r>
  <r>
    <x v="0"/>
    <s v="神戸市中央区"/>
    <x v="9"/>
    <x v="10"/>
    <n v="2137"/>
    <n v="21.68"/>
    <n v="1787"/>
    <n v="40.729999999999997"/>
    <n v="350"/>
    <n v="6.44"/>
    <x v="0"/>
  </r>
  <r>
    <x v="0"/>
    <s v="神戸市中央区"/>
    <x v="9"/>
    <x v="11"/>
    <n v="741"/>
    <n v="7.52"/>
    <n v="480"/>
    <n v="10.94"/>
    <n v="258"/>
    <n v="4.75"/>
    <x v="5"/>
  </r>
  <r>
    <x v="0"/>
    <s v="神戸市中央区"/>
    <x v="9"/>
    <x v="12"/>
    <n v="245"/>
    <n v="2.4900000000000002"/>
    <n v="122"/>
    <n v="2.78"/>
    <n v="118"/>
    <n v="2.17"/>
    <x v="1"/>
  </r>
  <r>
    <x v="0"/>
    <s v="神戸市中央区"/>
    <x v="9"/>
    <x v="13"/>
    <n v="352"/>
    <n v="3.57"/>
    <n v="220"/>
    <n v="5.01"/>
    <n v="125"/>
    <n v="2.2999999999999998"/>
    <x v="13"/>
  </r>
  <r>
    <x v="0"/>
    <s v="神戸市中央区"/>
    <x v="9"/>
    <x v="14"/>
    <n v="350"/>
    <n v="3.55"/>
    <n v="46"/>
    <n v="1.05"/>
    <n v="299"/>
    <n v="5.5"/>
    <x v="14"/>
  </r>
  <r>
    <x v="0"/>
    <s v="神戸市西区"/>
    <x v="10"/>
    <x v="0"/>
    <n v="0"/>
    <n v="0"/>
    <n v="0"/>
    <n v="0"/>
    <n v="0"/>
    <n v="0"/>
    <x v="0"/>
  </r>
  <r>
    <x v="0"/>
    <s v="神戸市西区"/>
    <x v="10"/>
    <x v="1"/>
    <n v="487"/>
    <n v="15.87"/>
    <n v="83"/>
    <n v="7.95"/>
    <n v="404"/>
    <n v="20.059999999999999"/>
    <x v="0"/>
  </r>
  <r>
    <x v="0"/>
    <s v="神戸市西区"/>
    <x v="10"/>
    <x v="2"/>
    <n v="397"/>
    <n v="12.94"/>
    <n v="89"/>
    <n v="8.52"/>
    <n v="308"/>
    <n v="15.29"/>
    <x v="0"/>
  </r>
  <r>
    <x v="0"/>
    <s v="神戸市西区"/>
    <x v="10"/>
    <x v="3"/>
    <n v="13"/>
    <n v="0.42"/>
    <n v="0"/>
    <n v="0"/>
    <n v="13"/>
    <n v="0.65"/>
    <x v="0"/>
  </r>
  <r>
    <x v="0"/>
    <s v="神戸市西区"/>
    <x v="10"/>
    <x v="4"/>
    <n v="26"/>
    <n v="0.85"/>
    <n v="2"/>
    <n v="0.19"/>
    <n v="24"/>
    <n v="1.19"/>
    <x v="0"/>
  </r>
  <r>
    <x v="0"/>
    <s v="神戸市西区"/>
    <x v="10"/>
    <x v="5"/>
    <n v="69"/>
    <n v="2.25"/>
    <n v="14"/>
    <n v="1.34"/>
    <n v="55"/>
    <n v="2.73"/>
    <x v="0"/>
  </r>
  <r>
    <x v="0"/>
    <s v="神戸市西区"/>
    <x v="10"/>
    <x v="6"/>
    <n v="645"/>
    <n v="21.02"/>
    <n v="215"/>
    <n v="20.59"/>
    <n v="429"/>
    <n v="21.3"/>
    <x v="5"/>
  </r>
  <r>
    <x v="0"/>
    <s v="神戸市西区"/>
    <x v="10"/>
    <x v="7"/>
    <n v="31"/>
    <n v="1.01"/>
    <n v="2"/>
    <n v="0.19"/>
    <n v="29"/>
    <n v="1.44"/>
    <x v="0"/>
  </r>
  <r>
    <x v="0"/>
    <s v="神戸市西区"/>
    <x v="10"/>
    <x v="8"/>
    <n v="381"/>
    <n v="12.41"/>
    <n v="84"/>
    <n v="8.0500000000000007"/>
    <n v="297"/>
    <n v="14.75"/>
    <x v="0"/>
  </r>
  <r>
    <x v="0"/>
    <s v="神戸市西区"/>
    <x v="10"/>
    <x v="9"/>
    <n v="151"/>
    <n v="4.92"/>
    <n v="51"/>
    <n v="4.8899999999999997"/>
    <n v="99"/>
    <n v="4.92"/>
    <x v="0"/>
  </r>
  <r>
    <x v="0"/>
    <s v="神戸市西区"/>
    <x v="10"/>
    <x v="10"/>
    <n v="163"/>
    <n v="5.31"/>
    <n v="109"/>
    <n v="10.44"/>
    <n v="54"/>
    <n v="2.68"/>
    <x v="0"/>
  </r>
  <r>
    <x v="0"/>
    <s v="神戸市西区"/>
    <x v="10"/>
    <x v="11"/>
    <n v="256"/>
    <n v="8.34"/>
    <n v="173"/>
    <n v="16.57"/>
    <n v="82"/>
    <n v="4.07"/>
    <x v="0"/>
  </r>
  <r>
    <x v="0"/>
    <s v="神戸市西区"/>
    <x v="10"/>
    <x v="12"/>
    <n v="125"/>
    <n v="4.07"/>
    <n v="84"/>
    <n v="8.0500000000000007"/>
    <n v="41"/>
    <n v="2.04"/>
    <x v="0"/>
  </r>
  <r>
    <x v="0"/>
    <s v="神戸市西区"/>
    <x v="10"/>
    <x v="13"/>
    <n v="152"/>
    <n v="4.95"/>
    <n v="70"/>
    <n v="6.7"/>
    <n v="81"/>
    <n v="4.0199999999999996"/>
    <x v="0"/>
  </r>
  <r>
    <x v="0"/>
    <s v="神戸市西区"/>
    <x v="10"/>
    <x v="14"/>
    <n v="173"/>
    <n v="5.64"/>
    <n v="68"/>
    <n v="6.51"/>
    <n v="98"/>
    <n v="4.87"/>
    <x v="5"/>
  </r>
  <r>
    <x v="0"/>
    <s v="姫路市"/>
    <x v="11"/>
    <x v="0"/>
    <n v="2"/>
    <n v="0.02"/>
    <n v="0"/>
    <n v="0"/>
    <n v="2"/>
    <n v="0.03"/>
    <x v="0"/>
  </r>
  <r>
    <x v="0"/>
    <s v="姫路市"/>
    <x v="11"/>
    <x v="1"/>
    <n v="1659"/>
    <n v="13.2"/>
    <n v="430"/>
    <n v="6.49"/>
    <n v="1229"/>
    <n v="21.13"/>
    <x v="0"/>
  </r>
  <r>
    <x v="0"/>
    <s v="姫路市"/>
    <x v="11"/>
    <x v="2"/>
    <n v="1097"/>
    <n v="8.73"/>
    <n v="462"/>
    <n v="6.97"/>
    <n v="634"/>
    <n v="10.9"/>
    <x v="5"/>
  </r>
  <r>
    <x v="0"/>
    <s v="姫路市"/>
    <x v="11"/>
    <x v="3"/>
    <n v="12"/>
    <n v="0.1"/>
    <n v="1"/>
    <n v="0.02"/>
    <n v="10"/>
    <n v="0.17"/>
    <x v="0"/>
  </r>
  <r>
    <x v="0"/>
    <s v="姫路市"/>
    <x v="11"/>
    <x v="4"/>
    <n v="82"/>
    <n v="0.65"/>
    <n v="5"/>
    <n v="0.08"/>
    <n v="77"/>
    <n v="1.32"/>
    <x v="0"/>
  </r>
  <r>
    <x v="0"/>
    <s v="姫路市"/>
    <x v="11"/>
    <x v="5"/>
    <n v="125"/>
    <n v="0.99"/>
    <n v="22"/>
    <n v="0.33"/>
    <n v="102"/>
    <n v="1.75"/>
    <x v="5"/>
  </r>
  <r>
    <x v="0"/>
    <s v="姫路市"/>
    <x v="11"/>
    <x v="6"/>
    <n v="2922"/>
    <n v="23.24"/>
    <n v="1452"/>
    <n v="21.9"/>
    <n v="1468"/>
    <n v="25.24"/>
    <x v="1"/>
  </r>
  <r>
    <x v="0"/>
    <s v="姫路市"/>
    <x v="11"/>
    <x v="7"/>
    <n v="123"/>
    <n v="0.98"/>
    <n v="27"/>
    <n v="0.41"/>
    <n v="95"/>
    <n v="1.63"/>
    <x v="0"/>
  </r>
  <r>
    <x v="0"/>
    <s v="姫路市"/>
    <x v="11"/>
    <x v="8"/>
    <n v="1120"/>
    <n v="8.91"/>
    <n v="340"/>
    <n v="5.13"/>
    <n v="776"/>
    <n v="13.34"/>
    <x v="15"/>
  </r>
  <r>
    <x v="0"/>
    <s v="姫路市"/>
    <x v="11"/>
    <x v="9"/>
    <n v="715"/>
    <n v="5.69"/>
    <n v="389"/>
    <n v="5.87"/>
    <n v="325"/>
    <n v="5.59"/>
    <x v="0"/>
  </r>
  <r>
    <x v="0"/>
    <s v="姫路市"/>
    <x v="11"/>
    <x v="10"/>
    <n v="1582"/>
    <n v="12.58"/>
    <n v="1384"/>
    <n v="20.87"/>
    <n v="194"/>
    <n v="3.34"/>
    <x v="14"/>
  </r>
  <r>
    <x v="0"/>
    <s v="姫路市"/>
    <x v="11"/>
    <x v="11"/>
    <n v="1487"/>
    <n v="11.83"/>
    <n v="1159"/>
    <n v="17.48"/>
    <n v="326"/>
    <n v="5.61"/>
    <x v="5"/>
  </r>
  <r>
    <x v="0"/>
    <s v="姫路市"/>
    <x v="11"/>
    <x v="12"/>
    <n v="639"/>
    <n v="5.08"/>
    <n v="415"/>
    <n v="6.26"/>
    <n v="143"/>
    <n v="2.46"/>
    <x v="5"/>
  </r>
  <r>
    <x v="0"/>
    <s v="姫路市"/>
    <x v="11"/>
    <x v="13"/>
    <n v="553"/>
    <n v="4.4000000000000004"/>
    <n v="361"/>
    <n v="5.44"/>
    <n v="173"/>
    <n v="2.97"/>
    <x v="0"/>
  </r>
  <r>
    <x v="0"/>
    <s v="姫路市"/>
    <x v="11"/>
    <x v="14"/>
    <n v="453"/>
    <n v="3.6"/>
    <n v="183"/>
    <n v="2.76"/>
    <n v="262"/>
    <n v="4.5"/>
    <x v="2"/>
  </r>
  <r>
    <x v="0"/>
    <s v="尼崎市"/>
    <x v="12"/>
    <x v="0"/>
    <n v="0"/>
    <n v="0"/>
    <n v="0"/>
    <n v="0"/>
    <n v="0"/>
    <n v="0"/>
    <x v="0"/>
  </r>
  <r>
    <x v="0"/>
    <s v="尼崎市"/>
    <x v="12"/>
    <x v="1"/>
    <n v="1211"/>
    <n v="12.6"/>
    <n v="209"/>
    <n v="4.3099999999999996"/>
    <n v="1002"/>
    <n v="21.52"/>
    <x v="0"/>
  </r>
  <r>
    <x v="0"/>
    <s v="尼崎市"/>
    <x v="12"/>
    <x v="2"/>
    <n v="978"/>
    <n v="10.18"/>
    <n v="312"/>
    <n v="6.44"/>
    <n v="666"/>
    <n v="14.3"/>
    <x v="0"/>
  </r>
  <r>
    <x v="0"/>
    <s v="尼崎市"/>
    <x v="12"/>
    <x v="3"/>
    <n v="7"/>
    <n v="7.0000000000000007E-2"/>
    <n v="0"/>
    <n v="0"/>
    <n v="6"/>
    <n v="0.13"/>
    <x v="0"/>
  </r>
  <r>
    <x v="0"/>
    <s v="尼崎市"/>
    <x v="12"/>
    <x v="4"/>
    <n v="63"/>
    <n v="0.66"/>
    <n v="7"/>
    <n v="0.14000000000000001"/>
    <n v="56"/>
    <n v="1.2"/>
    <x v="0"/>
  </r>
  <r>
    <x v="0"/>
    <s v="尼崎市"/>
    <x v="12"/>
    <x v="5"/>
    <n v="92"/>
    <n v="0.96"/>
    <n v="16"/>
    <n v="0.33"/>
    <n v="76"/>
    <n v="1.63"/>
    <x v="0"/>
  </r>
  <r>
    <x v="0"/>
    <s v="尼崎市"/>
    <x v="12"/>
    <x v="6"/>
    <n v="1932"/>
    <n v="20.100000000000001"/>
    <n v="964"/>
    <n v="19.899999999999999"/>
    <n v="968"/>
    <n v="20.79"/>
    <x v="0"/>
  </r>
  <r>
    <x v="0"/>
    <s v="尼崎市"/>
    <x v="12"/>
    <x v="7"/>
    <n v="40"/>
    <n v="0.42"/>
    <n v="4"/>
    <n v="0.08"/>
    <n v="36"/>
    <n v="0.77"/>
    <x v="0"/>
  </r>
  <r>
    <x v="0"/>
    <s v="尼崎市"/>
    <x v="12"/>
    <x v="8"/>
    <n v="1095"/>
    <n v="11.39"/>
    <n v="265"/>
    <n v="5.47"/>
    <n v="829"/>
    <n v="17.8"/>
    <x v="5"/>
  </r>
  <r>
    <x v="0"/>
    <s v="尼崎市"/>
    <x v="12"/>
    <x v="9"/>
    <n v="424"/>
    <n v="4.41"/>
    <n v="237"/>
    <n v="4.8899999999999997"/>
    <n v="183"/>
    <n v="3.93"/>
    <x v="1"/>
  </r>
  <r>
    <x v="0"/>
    <s v="尼崎市"/>
    <x v="12"/>
    <x v="10"/>
    <n v="1484"/>
    <n v="15.44"/>
    <n v="1323"/>
    <n v="27.31"/>
    <n v="160"/>
    <n v="3.44"/>
    <x v="5"/>
  </r>
  <r>
    <x v="0"/>
    <s v="尼崎市"/>
    <x v="12"/>
    <x v="11"/>
    <n v="1076"/>
    <n v="11.2"/>
    <n v="843"/>
    <n v="17.399999999999999"/>
    <n v="232"/>
    <n v="4.9800000000000004"/>
    <x v="5"/>
  </r>
  <r>
    <x v="0"/>
    <s v="尼崎市"/>
    <x v="12"/>
    <x v="12"/>
    <n v="314"/>
    <n v="3.27"/>
    <n v="240"/>
    <n v="4.95"/>
    <n v="72"/>
    <n v="1.55"/>
    <x v="5"/>
  </r>
  <r>
    <x v="0"/>
    <s v="尼崎市"/>
    <x v="12"/>
    <x v="13"/>
    <n v="607"/>
    <n v="6.32"/>
    <n v="326"/>
    <n v="6.73"/>
    <n v="184"/>
    <n v="3.95"/>
    <x v="1"/>
  </r>
  <r>
    <x v="0"/>
    <s v="尼崎市"/>
    <x v="12"/>
    <x v="14"/>
    <n v="288"/>
    <n v="3"/>
    <n v="99"/>
    <n v="2.04"/>
    <n v="187"/>
    <n v="4.0199999999999996"/>
    <x v="5"/>
  </r>
  <r>
    <x v="0"/>
    <s v="明石市"/>
    <x v="13"/>
    <x v="0"/>
    <n v="0"/>
    <n v="0"/>
    <n v="0"/>
    <n v="0"/>
    <n v="0"/>
    <n v="0"/>
    <x v="0"/>
  </r>
  <r>
    <x v="0"/>
    <s v="明石市"/>
    <x v="13"/>
    <x v="1"/>
    <n v="393"/>
    <n v="8.61"/>
    <n v="98"/>
    <n v="3.94"/>
    <n v="295"/>
    <n v="14.43"/>
    <x v="0"/>
  </r>
  <r>
    <x v="0"/>
    <s v="明石市"/>
    <x v="13"/>
    <x v="2"/>
    <n v="270"/>
    <n v="5.92"/>
    <n v="89"/>
    <n v="3.58"/>
    <n v="181"/>
    <n v="8.86"/>
    <x v="0"/>
  </r>
  <r>
    <x v="0"/>
    <s v="明石市"/>
    <x v="13"/>
    <x v="3"/>
    <n v="4"/>
    <n v="0.09"/>
    <n v="0"/>
    <n v="0"/>
    <n v="4"/>
    <n v="0.2"/>
    <x v="0"/>
  </r>
  <r>
    <x v="0"/>
    <s v="明石市"/>
    <x v="13"/>
    <x v="4"/>
    <n v="37"/>
    <n v="0.81"/>
    <n v="2"/>
    <n v="0.08"/>
    <n v="35"/>
    <n v="1.71"/>
    <x v="0"/>
  </r>
  <r>
    <x v="0"/>
    <s v="明石市"/>
    <x v="13"/>
    <x v="5"/>
    <n v="42"/>
    <n v="0.92"/>
    <n v="4"/>
    <n v="0.16"/>
    <n v="38"/>
    <n v="1.86"/>
    <x v="0"/>
  </r>
  <r>
    <x v="0"/>
    <s v="明石市"/>
    <x v="13"/>
    <x v="6"/>
    <n v="1038"/>
    <n v="22.75"/>
    <n v="535"/>
    <n v="21.49"/>
    <n v="502"/>
    <n v="24.56"/>
    <x v="5"/>
  </r>
  <r>
    <x v="0"/>
    <s v="明石市"/>
    <x v="13"/>
    <x v="7"/>
    <n v="30"/>
    <n v="0.66"/>
    <n v="6"/>
    <n v="0.24"/>
    <n v="24"/>
    <n v="1.17"/>
    <x v="0"/>
  </r>
  <r>
    <x v="0"/>
    <s v="明石市"/>
    <x v="13"/>
    <x v="8"/>
    <n v="474"/>
    <n v="10.39"/>
    <n v="83"/>
    <n v="3.33"/>
    <n v="390"/>
    <n v="19.079999999999998"/>
    <x v="0"/>
  </r>
  <r>
    <x v="0"/>
    <s v="明石市"/>
    <x v="13"/>
    <x v="9"/>
    <n v="265"/>
    <n v="5.81"/>
    <n v="152"/>
    <n v="6.11"/>
    <n v="112"/>
    <n v="5.48"/>
    <x v="0"/>
  </r>
  <r>
    <x v="0"/>
    <s v="明石市"/>
    <x v="13"/>
    <x v="10"/>
    <n v="661"/>
    <n v="14.49"/>
    <n v="588"/>
    <n v="23.62"/>
    <n v="71"/>
    <n v="3.47"/>
    <x v="0"/>
  </r>
  <r>
    <x v="0"/>
    <s v="明石市"/>
    <x v="13"/>
    <x v="11"/>
    <n v="684"/>
    <n v="14.99"/>
    <n v="530"/>
    <n v="21.29"/>
    <n v="150"/>
    <n v="7.34"/>
    <x v="0"/>
  </r>
  <r>
    <x v="0"/>
    <s v="明石市"/>
    <x v="13"/>
    <x v="12"/>
    <n v="238"/>
    <n v="5.22"/>
    <n v="188"/>
    <n v="7.55"/>
    <n v="49"/>
    <n v="2.4"/>
    <x v="5"/>
  </r>
  <r>
    <x v="0"/>
    <s v="明石市"/>
    <x v="13"/>
    <x v="13"/>
    <n v="273"/>
    <n v="5.98"/>
    <n v="165"/>
    <n v="6.63"/>
    <n v="103"/>
    <n v="5.04"/>
    <x v="0"/>
  </r>
  <r>
    <x v="0"/>
    <s v="明石市"/>
    <x v="13"/>
    <x v="14"/>
    <n v="153"/>
    <n v="3.35"/>
    <n v="49"/>
    <n v="1.97"/>
    <n v="90"/>
    <n v="4.4000000000000004"/>
    <x v="14"/>
  </r>
  <r>
    <x v="0"/>
    <s v="西宮市"/>
    <x v="14"/>
    <x v="0"/>
    <n v="0"/>
    <n v="0"/>
    <n v="0"/>
    <n v="0"/>
    <n v="0"/>
    <n v="0"/>
    <x v="0"/>
  </r>
  <r>
    <x v="0"/>
    <s v="西宮市"/>
    <x v="14"/>
    <x v="1"/>
    <n v="713"/>
    <n v="9.25"/>
    <n v="97"/>
    <n v="2.75"/>
    <n v="616"/>
    <n v="14.89"/>
    <x v="0"/>
  </r>
  <r>
    <x v="0"/>
    <s v="西宮市"/>
    <x v="14"/>
    <x v="2"/>
    <n v="223"/>
    <n v="2.89"/>
    <n v="50"/>
    <n v="1.42"/>
    <n v="172"/>
    <n v="4.16"/>
    <x v="5"/>
  </r>
  <r>
    <x v="0"/>
    <s v="西宮市"/>
    <x v="14"/>
    <x v="3"/>
    <n v="10"/>
    <n v="0.13"/>
    <n v="0"/>
    <n v="0"/>
    <n v="9"/>
    <n v="0.22"/>
    <x v="0"/>
  </r>
  <r>
    <x v="0"/>
    <s v="西宮市"/>
    <x v="14"/>
    <x v="4"/>
    <n v="88"/>
    <n v="1.1399999999999999"/>
    <n v="4"/>
    <n v="0.11"/>
    <n v="84"/>
    <n v="2.0299999999999998"/>
    <x v="0"/>
  </r>
  <r>
    <x v="0"/>
    <s v="西宮市"/>
    <x v="14"/>
    <x v="5"/>
    <n v="66"/>
    <n v="0.86"/>
    <n v="6"/>
    <n v="0.17"/>
    <n v="60"/>
    <n v="1.45"/>
    <x v="0"/>
  </r>
  <r>
    <x v="0"/>
    <s v="西宮市"/>
    <x v="14"/>
    <x v="6"/>
    <n v="1664"/>
    <n v="21.59"/>
    <n v="704"/>
    <n v="19.989999999999998"/>
    <n v="957"/>
    <n v="23.13"/>
    <x v="14"/>
  </r>
  <r>
    <x v="0"/>
    <s v="西宮市"/>
    <x v="14"/>
    <x v="7"/>
    <n v="42"/>
    <n v="0.55000000000000004"/>
    <n v="3"/>
    <n v="0.09"/>
    <n v="39"/>
    <n v="0.94"/>
    <x v="0"/>
  </r>
  <r>
    <x v="0"/>
    <s v="西宮市"/>
    <x v="14"/>
    <x v="8"/>
    <n v="1237"/>
    <n v="16.05"/>
    <n v="277"/>
    <n v="7.86"/>
    <n v="955"/>
    <n v="23.08"/>
    <x v="13"/>
  </r>
  <r>
    <x v="0"/>
    <s v="西宮市"/>
    <x v="14"/>
    <x v="9"/>
    <n v="495"/>
    <n v="6.42"/>
    <n v="202"/>
    <n v="5.74"/>
    <n v="293"/>
    <n v="7.08"/>
    <x v="0"/>
  </r>
  <r>
    <x v="0"/>
    <s v="西宮市"/>
    <x v="14"/>
    <x v="10"/>
    <n v="1052"/>
    <n v="13.65"/>
    <n v="856"/>
    <n v="24.3"/>
    <n v="196"/>
    <n v="4.74"/>
    <x v="0"/>
  </r>
  <r>
    <x v="0"/>
    <s v="西宮市"/>
    <x v="14"/>
    <x v="11"/>
    <n v="995"/>
    <n v="12.91"/>
    <n v="690"/>
    <n v="19.59"/>
    <n v="301"/>
    <n v="7.27"/>
    <x v="0"/>
  </r>
  <r>
    <x v="0"/>
    <s v="西宮市"/>
    <x v="14"/>
    <x v="12"/>
    <n v="401"/>
    <n v="5.2"/>
    <n v="226"/>
    <n v="6.42"/>
    <n v="148"/>
    <n v="3.58"/>
    <x v="0"/>
  </r>
  <r>
    <x v="0"/>
    <s v="西宮市"/>
    <x v="14"/>
    <x v="13"/>
    <n v="512"/>
    <n v="6.64"/>
    <n v="357"/>
    <n v="10.14"/>
    <n v="153"/>
    <n v="3.7"/>
    <x v="0"/>
  </r>
  <r>
    <x v="0"/>
    <s v="西宮市"/>
    <x v="14"/>
    <x v="14"/>
    <n v="208"/>
    <n v="2.7"/>
    <n v="50"/>
    <n v="1.42"/>
    <n v="155"/>
    <n v="3.75"/>
    <x v="1"/>
  </r>
  <r>
    <x v="0"/>
    <s v="洲本市"/>
    <x v="15"/>
    <x v="0"/>
    <n v="2"/>
    <n v="0.14000000000000001"/>
    <n v="0"/>
    <n v="0"/>
    <n v="2"/>
    <n v="0.39"/>
    <x v="0"/>
  </r>
  <r>
    <x v="0"/>
    <s v="洲本市"/>
    <x v="15"/>
    <x v="1"/>
    <n v="161"/>
    <n v="11.1"/>
    <n v="66"/>
    <n v="7.39"/>
    <n v="95"/>
    <n v="18.45"/>
    <x v="0"/>
  </r>
  <r>
    <x v="0"/>
    <s v="洲本市"/>
    <x v="15"/>
    <x v="2"/>
    <n v="96"/>
    <n v="6.62"/>
    <n v="52"/>
    <n v="5.82"/>
    <n v="44"/>
    <n v="8.5399999999999991"/>
    <x v="0"/>
  </r>
  <r>
    <x v="0"/>
    <s v="洲本市"/>
    <x v="15"/>
    <x v="3"/>
    <n v="4"/>
    <n v="0.28000000000000003"/>
    <n v="0"/>
    <n v="0"/>
    <n v="4"/>
    <n v="0.78"/>
    <x v="0"/>
  </r>
  <r>
    <x v="0"/>
    <s v="洲本市"/>
    <x v="15"/>
    <x v="4"/>
    <n v="9"/>
    <n v="0.62"/>
    <n v="2"/>
    <n v="0.22"/>
    <n v="7"/>
    <n v="1.36"/>
    <x v="0"/>
  </r>
  <r>
    <x v="0"/>
    <s v="洲本市"/>
    <x v="15"/>
    <x v="5"/>
    <n v="8"/>
    <n v="0.55000000000000004"/>
    <n v="1"/>
    <n v="0.11"/>
    <n v="7"/>
    <n v="1.36"/>
    <x v="0"/>
  </r>
  <r>
    <x v="0"/>
    <s v="洲本市"/>
    <x v="15"/>
    <x v="6"/>
    <n v="376"/>
    <n v="25.91"/>
    <n v="238"/>
    <n v="26.65"/>
    <n v="138"/>
    <n v="26.8"/>
    <x v="0"/>
  </r>
  <r>
    <x v="0"/>
    <s v="洲本市"/>
    <x v="15"/>
    <x v="7"/>
    <n v="18"/>
    <n v="1.24"/>
    <n v="3"/>
    <n v="0.34"/>
    <n v="15"/>
    <n v="2.91"/>
    <x v="0"/>
  </r>
  <r>
    <x v="0"/>
    <s v="洲本市"/>
    <x v="15"/>
    <x v="8"/>
    <n v="151"/>
    <n v="10.41"/>
    <n v="71"/>
    <n v="7.95"/>
    <n v="79"/>
    <n v="15.34"/>
    <x v="5"/>
  </r>
  <r>
    <x v="0"/>
    <s v="洲本市"/>
    <x v="15"/>
    <x v="9"/>
    <n v="71"/>
    <n v="4.8899999999999997"/>
    <n v="51"/>
    <n v="5.71"/>
    <n v="20"/>
    <n v="3.88"/>
    <x v="0"/>
  </r>
  <r>
    <x v="0"/>
    <s v="洲本市"/>
    <x v="15"/>
    <x v="10"/>
    <n v="191"/>
    <n v="13.16"/>
    <n v="173"/>
    <n v="19.37"/>
    <n v="16"/>
    <n v="3.11"/>
    <x v="0"/>
  </r>
  <r>
    <x v="0"/>
    <s v="洲本市"/>
    <x v="15"/>
    <x v="11"/>
    <n v="163"/>
    <n v="11.23"/>
    <n v="128"/>
    <n v="14.33"/>
    <n v="26"/>
    <n v="5.05"/>
    <x v="0"/>
  </r>
  <r>
    <x v="0"/>
    <s v="洲本市"/>
    <x v="15"/>
    <x v="12"/>
    <n v="61"/>
    <n v="4.2"/>
    <n v="38"/>
    <n v="4.26"/>
    <n v="9"/>
    <n v="1.75"/>
    <x v="0"/>
  </r>
  <r>
    <x v="0"/>
    <s v="洲本市"/>
    <x v="15"/>
    <x v="13"/>
    <n v="84"/>
    <n v="5.79"/>
    <n v="45"/>
    <n v="5.04"/>
    <n v="29"/>
    <n v="5.63"/>
    <x v="0"/>
  </r>
  <r>
    <x v="0"/>
    <s v="洲本市"/>
    <x v="15"/>
    <x v="14"/>
    <n v="56"/>
    <n v="3.86"/>
    <n v="25"/>
    <n v="2.8"/>
    <n v="24"/>
    <n v="4.66"/>
    <x v="1"/>
  </r>
  <r>
    <x v="0"/>
    <s v="芦屋市"/>
    <x v="16"/>
    <x v="0"/>
    <n v="0"/>
    <n v="0"/>
    <n v="0"/>
    <n v="0"/>
    <n v="0"/>
    <n v="0"/>
    <x v="0"/>
  </r>
  <r>
    <x v="0"/>
    <s v="芦屋市"/>
    <x v="16"/>
    <x v="1"/>
    <n v="97"/>
    <n v="5.15"/>
    <n v="18"/>
    <n v="2.63"/>
    <n v="79"/>
    <n v="6.68"/>
    <x v="0"/>
  </r>
  <r>
    <x v="0"/>
    <s v="芦屋市"/>
    <x v="16"/>
    <x v="2"/>
    <n v="39"/>
    <n v="2.0699999999999998"/>
    <n v="5"/>
    <n v="0.73"/>
    <n v="34"/>
    <n v="2.88"/>
    <x v="0"/>
  </r>
  <r>
    <x v="0"/>
    <s v="芦屋市"/>
    <x v="16"/>
    <x v="3"/>
    <n v="2"/>
    <n v="0.11"/>
    <n v="0"/>
    <n v="0"/>
    <n v="1"/>
    <n v="0.08"/>
    <x v="0"/>
  </r>
  <r>
    <x v="0"/>
    <s v="芦屋市"/>
    <x v="16"/>
    <x v="4"/>
    <n v="32"/>
    <n v="1.7"/>
    <n v="4"/>
    <n v="0.57999999999999996"/>
    <n v="28"/>
    <n v="2.37"/>
    <x v="0"/>
  </r>
  <r>
    <x v="0"/>
    <s v="芦屋市"/>
    <x v="16"/>
    <x v="5"/>
    <n v="12"/>
    <n v="0.64"/>
    <n v="2"/>
    <n v="0.28999999999999998"/>
    <n v="10"/>
    <n v="0.85"/>
    <x v="0"/>
  </r>
  <r>
    <x v="0"/>
    <s v="芦屋市"/>
    <x v="16"/>
    <x v="6"/>
    <n v="435"/>
    <n v="23.09"/>
    <n v="147"/>
    <n v="21.49"/>
    <n v="286"/>
    <n v="24.2"/>
    <x v="1"/>
  </r>
  <r>
    <x v="0"/>
    <s v="芦屋市"/>
    <x v="16"/>
    <x v="7"/>
    <n v="11"/>
    <n v="0.57999999999999996"/>
    <n v="0"/>
    <n v="0"/>
    <n v="11"/>
    <n v="0.93"/>
    <x v="0"/>
  </r>
  <r>
    <x v="0"/>
    <s v="芦屋市"/>
    <x v="16"/>
    <x v="8"/>
    <n v="345"/>
    <n v="18.309999999999999"/>
    <n v="20"/>
    <n v="2.92"/>
    <n v="322"/>
    <n v="27.24"/>
    <x v="14"/>
  </r>
  <r>
    <x v="0"/>
    <s v="芦屋市"/>
    <x v="16"/>
    <x v="9"/>
    <n v="192"/>
    <n v="10.19"/>
    <n v="65"/>
    <n v="9.5"/>
    <n v="127"/>
    <n v="10.74"/>
    <x v="0"/>
  </r>
  <r>
    <x v="0"/>
    <s v="芦屋市"/>
    <x v="16"/>
    <x v="10"/>
    <n v="199"/>
    <n v="10.56"/>
    <n v="129"/>
    <n v="18.86"/>
    <n v="70"/>
    <n v="5.92"/>
    <x v="0"/>
  </r>
  <r>
    <x v="0"/>
    <s v="芦屋市"/>
    <x v="16"/>
    <x v="11"/>
    <n v="224"/>
    <n v="11.89"/>
    <n v="139"/>
    <n v="20.32"/>
    <n v="85"/>
    <n v="7.19"/>
    <x v="0"/>
  </r>
  <r>
    <x v="0"/>
    <s v="芦屋市"/>
    <x v="16"/>
    <x v="12"/>
    <n v="91"/>
    <n v="4.83"/>
    <n v="45"/>
    <n v="6.58"/>
    <n v="45"/>
    <n v="3.81"/>
    <x v="5"/>
  </r>
  <r>
    <x v="0"/>
    <s v="芦屋市"/>
    <x v="16"/>
    <x v="13"/>
    <n v="136"/>
    <n v="7.22"/>
    <n v="103"/>
    <n v="15.06"/>
    <n v="33"/>
    <n v="2.79"/>
    <x v="0"/>
  </r>
  <r>
    <x v="0"/>
    <s v="芦屋市"/>
    <x v="16"/>
    <x v="14"/>
    <n v="69"/>
    <n v="3.66"/>
    <n v="7"/>
    <n v="1.02"/>
    <n v="51"/>
    <n v="4.3099999999999996"/>
    <x v="12"/>
  </r>
  <r>
    <x v="0"/>
    <s v="伊丹市"/>
    <x v="17"/>
    <x v="0"/>
    <n v="0"/>
    <n v="0"/>
    <n v="0"/>
    <n v="0"/>
    <n v="0"/>
    <n v="0"/>
    <x v="0"/>
  </r>
  <r>
    <x v="0"/>
    <s v="伊丹市"/>
    <x v="17"/>
    <x v="1"/>
    <n v="465"/>
    <n v="14.8"/>
    <n v="81"/>
    <n v="5.63"/>
    <n v="384"/>
    <n v="22.7"/>
    <x v="0"/>
  </r>
  <r>
    <x v="0"/>
    <s v="伊丹市"/>
    <x v="17"/>
    <x v="2"/>
    <n v="242"/>
    <n v="7.7"/>
    <n v="61"/>
    <n v="4.24"/>
    <n v="181"/>
    <n v="10.7"/>
    <x v="0"/>
  </r>
  <r>
    <x v="0"/>
    <s v="伊丹市"/>
    <x v="17"/>
    <x v="3"/>
    <n v="0"/>
    <n v="0"/>
    <n v="0"/>
    <n v="0"/>
    <n v="0"/>
    <n v="0"/>
    <x v="0"/>
  </r>
  <r>
    <x v="0"/>
    <s v="伊丹市"/>
    <x v="17"/>
    <x v="4"/>
    <n v="32"/>
    <n v="1.02"/>
    <n v="2"/>
    <n v="0.14000000000000001"/>
    <n v="30"/>
    <n v="1.77"/>
    <x v="0"/>
  </r>
  <r>
    <x v="0"/>
    <s v="伊丹市"/>
    <x v="17"/>
    <x v="5"/>
    <n v="28"/>
    <n v="0.89"/>
    <n v="3"/>
    <n v="0.21"/>
    <n v="25"/>
    <n v="1.48"/>
    <x v="0"/>
  </r>
  <r>
    <x v="0"/>
    <s v="伊丹市"/>
    <x v="17"/>
    <x v="6"/>
    <n v="654"/>
    <n v="20.82"/>
    <n v="299"/>
    <n v="20.76"/>
    <n v="353"/>
    <n v="20.86"/>
    <x v="1"/>
  </r>
  <r>
    <x v="0"/>
    <s v="伊丹市"/>
    <x v="17"/>
    <x v="7"/>
    <n v="10"/>
    <n v="0.32"/>
    <n v="0"/>
    <n v="0"/>
    <n v="10"/>
    <n v="0.59"/>
    <x v="0"/>
  </r>
  <r>
    <x v="0"/>
    <s v="伊丹市"/>
    <x v="17"/>
    <x v="8"/>
    <n v="394"/>
    <n v="12.54"/>
    <n v="55"/>
    <n v="3.82"/>
    <n v="338"/>
    <n v="19.98"/>
    <x v="0"/>
  </r>
  <r>
    <x v="0"/>
    <s v="伊丹市"/>
    <x v="17"/>
    <x v="9"/>
    <n v="146"/>
    <n v="4.6500000000000004"/>
    <n v="69"/>
    <n v="4.79"/>
    <n v="77"/>
    <n v="4.55"/>
    <x v="0"/>
  </r>
  <r>
    <x v="0"/>
    <s v="伊丹市"/>
    <x v="17"/>
    <x v="10"/>
    <n v="422"/>
    <n v="13.44"/>
    <n v="356"/>
    <n v="24.72"/>
    <n v="65"/>
    <n v="3.84"/>
    <x v="0"/>
  </r>
  <r>
    <x v="0"/>
    <s v="伊丹市"/>
    <x v="17"/>
    <x v="11"/>
    <n v="365"/>
    <n v="11.62"/>
    <n v="286"/>
    <n v="19.86"/>
    <n v="79"/>
    <n v="4.67"/>
    <x v="0"/>
  </r>
  <r>
    <x v="0"/>
    <s v="伊丹市"/>
    <x v="17"/>
    <x v="12"/>
    <n v="137"/>
    <n v="4.3600000000000003"/>
    <n v="96"/>
    <n v="6.67"/>
    <n v="37"/>
    <n v="2.19"/>
    <x v="5"/>
  </r>
  <r>
    <x v="0"/>
    <s v="伊丹市"/>
    <x v="17"/>
    <x v="13"/>
    <n v="170"/>
    <n v="5.41"/>
    <n v="106"/>
    <n v="7.36"/>
    <n v="64"/>
    <n v="3.78"/>
    <x v="0"/>
  </r>
  <r>
    <x v="0"/>
    <s v="伊丹市"/>
    <x v="17"/>
    <x v="14"/>
    <n v="76"/>
    <n v="2.42"/>
    <n v="26"/>
    <n v="1.81"/>
    <n v="49"/>
    <n v="2.9"/>
    <x v="0"/>
  </r>
  <r>
    <x v="0"/>
    <s v="相生市"/>
    <x v="18"/>
    <x v="0"/>
    <n v="0"/>
    <n v="0"/>
    <n v="0"/>
    <n v="0"/>
    <n v="0"/>
    <n v="0"/>
    <x v="0"/>
  </r>
  <r>
    <x v="0"/>
    <s v="相生市"/>
    <x v="18"/>
    <x v="1"/>
    <n v="108"/>
    <n v="14.92"/>
    <n v="41"/>
    <n v="9.43"/>
    <n v="67"/>
    <n v="24.81"/>
    <x v="0"/>
  </r>
  <r>
    <x v="0"/>
    <s v="相生市"/>
    <x v="18"/>
    <x v="2"/>
    <n v="54"/>
    <n v="7.46"/>
    <n v="15"/>
    <n v="3.45"/>
    <n v="39"/>
    <n v="14.44"/>
    <x v="0"/>
  </r>
  <r>
    <x v="0"/>
    <s v="相生市"/>
    <x v="18"/>
    <x v="3"/>
    <n v="1"/>
    <n v="0.14000000000000001"/>
    <n v="0"/>
    <n v="0"/>
    <n v="1"/>
    <n v="0.37"/>
    <x v="0"/>
  </r>
  <r>
    <x v="0"/>
    <s v="相生市"/>
    <x v="18"/>
    <x v="4"/>
    <n v="4"/>
    <n v="0.55000000000000004"/>
    <n v="0"/>
    <n v="0"/>
    <n v="4"/>
    <n v="1.48"/>
    <x v="0"/>
  </r>
  <r>
    <x v="0"/>
    <s v="相生市"/>
    <x v="18"/>
    <x v="5"/>
    <n v="12"/>
    <n v="1.66"/>
    <n v="2"/>
    <n v="0.46"/>
    <n v="10"/>
    <n v="3.7"/>
    <x v="0"/>
  </r>
  <r>
    <x v="0"/>
    <s v="相生市"/>
    <x v="18"/>
    <x v="6"/>
    <n v="148"/>
    <n v="20.440000000000001"/>
    <n v="85"/>
    <n v="19.54"/>
    <n v="63"/>
    <n v="23.33"/>
    <x v="0"/>
  </r>
  <r>
    <x v="0"/>
    <s v="相生市"/>
    <x v="18"/>
    <x v="7"/>
    <n v="6"/>
    <n v="0.83"/>
    <n v="1"/>
    <n v="0.23"/>
    <n v="5"/>
    <n v="1.85"/>
    <x v="0"/>
  </r>
  <r>
    <x v="0"/>
    <s v="相生市"/>
    <x v="18"/>
    <x v="8"/>
    <n v="83"/>
    <n v="11.46"/>
    <n v="57"/>
    <n v="13.1"/>
    <n v="25"/>
    <n v="9.26"/>
    <x v="0"/>
  </r>
  <r>
    <x v="0"/>
    <s v="相生市"/>
    <x v="18"/>
    <x v="9"/>
    <n v="30"/>
    <n v="4.1399999999999997"/>
    <n v="15"/>
    <n v="3.45"/>
    <n v="14"/>
    <n v="5.19"/>
    <x v="0"/>
  </r>
  <r>
    <x v="0"/>
    <s v="相生市"/>
    <x v="18"/>
    <x v="10"/>
    <n v="84"/>
    <n v="11.6"/>
    <n v="71"/>
    <n v="16.32"/>
    <n v="13"/>
    <n v="4.8099999999999996"/>
    <x v="0"/>
  </r>
  <r>
    <x v="0"/>
    <s v="相生市"/>
    <x v="18"/>
    <x v="11"/>
    <n v="93"/>
    <n v="12.85"/>
    <n v="80"/>
    <n v="18.39"/>
    <n v="12"/>
    <n v="4.4400000000000004"/>
    <x v="5"/>
  </r>
  <r>
    <x v="0"/>
    <s v="相生市"/>
    <x v="18"/>
    <x v="12"/>
    <n v="46"/>
    <n v="6.35"/>
    <n v="32"/>
    <n v="7.36"/>
    <n v="6"/>
    <n v="2.2200000000000002"/>
    <x v="0"/>
  </r>
  <r>
    <x v="0"/>
    <s v="相生市"/>
    <x v="18"/>
    <x v="13"/>
    <n v="35"/>
    <n v="4.83"/>
    <n v="23"/>
    <n v="5.29"/>
    <n v="6"/>
    <n v="2.2200000000000002"/>
    <x v="0"/>
  </r>
  <r>
    <x v="0"/>
    <s v="相生市"/>
    <x v="18"/>
    <x v="14"/>
    <n v="20"/>
    <n v="2.76"/>
    <n v="13"/>
    <n v="2.99"/>
    <n v="5"/>
    <n v="1.85"/>
    <x v="0"/>
  </r>
  <r>
    <x v="0"/>
    <s v="豊岡市"/>
    <x v="19"/>
    <x v="0"/>
    <n v="0"/>
    <n v="0"/>
    <n v="0"/>
    <n v="0"/>
    <n v="0"/>
    <n v="0"/>
    <x v="0"/>
  </r>
  <r>
    <x v="0"/>
    <s v="豊岡市"/>
    <x v="19"/>
    <x v="1"/>
    <n v="393"/>
    <n v="13.54"/>
    <n v="232"/>
    <n v="12.01"/>
    <n v="161"/>
    <n v="17.690000000000001"/>
    <x v="0"/>
  </r>
  <r>
    <x v="0"/>
    <s v="豊岡市"/>
    <x v="19"/>
    <x v="2"/>
    <n v="316"/>
    <n v="10.89"/>
    <n v="205"/>
    <n v="10.61"/>
    <n v="111"/>
    <n v="12.2"/>
    <x v="0"/>
  </r>
  <r>
    <x v="0"/>
    <s v="豊岡市"/>
    <x v="19"/>
    <x v="3"/>
    <n v="2"/>
    <n v="7.0000000000000007E-2"/>
    <n v="0"/>
    <n v="0"/>
    <n v="2"/>
    <n v="0.22"/>
    <x v="0"/>
  </r>
  <r>
    <x v="0"/>
    <s v="豊岡市"/>
    <x v="19"/>
    <x v="4"/>
    <n v="23"/>
    <n v="0.79"/>
    <n v="6"/>
    <n v="0.31"/>
    <n v="17"/>
    <n v="1.87"/>
    <x v="0"/>
  </r>
  <r>
    <x v="0"/>
    <s v="豊岡市"/>
    <x v="19"/>
    <x v="5"/>
    <n v="22"/>
    <n v="0.76"/>
    <n v="11"/>
    <n v="0.56999999999999995"/>
    <n v="9"/>
    <n v="0.99"/>
    <x v="1"/>
  </r>
  <r>
    <x v="0"/>
    <s v="豊岡市"/>
    <x v="19"/>
    <x v="6"/>
    <n v="731"/>
    <n v="25.19"/>
    <n v="458"/>
    <n v="23.71"/>
    <n v="273"/>
    <n v="30"/>
    <x v="0"/>
  </r>
  <r>
    <x v="0"/>
    <s v="豊岡市"/>
    <x v="19"/>
    <x v="7"/>
    <n v="19"/>
    <n v="0.65"/>
    <n v="7"/>
    <n v="0.36"/>
    <n v="12"/>
    <n v="1.32"/>
    <x v="0"/>
  </r>
  <r>
    <x v="0"/>
    <s v="豊岡市"/>
    <x v="19"/>
    <x v="8"/>
    <n v="169"/>
    <n v="5.82"/>
    <n v="83"/>
    <n v="4.3"/>
    <n v="86"/>
    <n v="9.4499999999999993"/>
    <x v="0"/>
  </r>
  <r>
    <x v="0"/>
    <s v="豊岡市"/>
    <x v="19"/>
    <x v="9"/>
    <n v="113"/>
    <n v="3.89"/>
    <n v="75"/>
    <n v="3.88"/>
    <n v="37"/>
    <n v="4.07"/>
    <x v="0"/>
  </r>
  <r>
    <x v="0"/>
    <s v="豊岡市"/>
    <x v="19"/>
    <x v="10"/>
    <n v="536"/>
    <n v="18.47"/>
    <n v="474"/>
    <n v="24.53"/>
    <n v="62"/>
    <n v="6.81"/>
    <x v="0"/>
  </r>
  <r>
    <x v="0"/>
    <s v="豊岡市"/>
    <x v="19"/>
    <x v="11"/>
    <n v="275"/>
    <n v="9.48"/>
    <n v="226"/>
    <n v="11.7"/>
    <n v="47"/>
    <n v="5.16"/>
    <x v="5"/>
  </r>
  <r>
    <x v="0"/>
    <s v="豊岡市"/>
    <x v="19"/>
    <x v="12"/>
    <n v="122"/>
    <n v="4.2"/>
    <n v="63"/>
    <n v="3.26"/>
    <n v="20"/>
    <n v="2.2000000000000002"/>
    <x v="13"/>
  </r>
  <r>
    <x v="0"/>
    <s v="豊岡市"/>
    <x v="19"/>
    <x v="13"/>
    <n v="108"/>
    <n v="3.72"/>
    <n v="63"/>
    <n v="3.26"/>
    <n v="35"/>
    <n v="3.85"/>
    <x v="0"/>
  </r>
  <r>
    <x v="0"/>
    <s v="豊岡市"/>
    <x v="19"/>
    <x v="14"/>
    <n v="73"/>
    <n v="2.52"/>
    <n v="29"/>
    <n v="1.5"/>
    <n v="38"/>
    <n v="4.18"/>
    <x v="15"/>
  </r>
  <r>
    <x v="0"/>
    <s v="加古川市"/>
    <x v="20"/>
    <x v="0"/>
    <n v="0"/>
    <n v="0"/>
    <n v="0"/>
    <n v="0"/>
    <n v="0"/>
    <n v="0"/>
    <x v="0"/>
  </r>
  <r>
    <x v="0"/>
    <s v="加古川市"/>
    <x v="20"/>
    <x v="1"/>
    <n v="663"/>
    <n v="14.4"/>
    <n v="189"/>
    <n v="7.47"/>
    <n v="474"/>
    <n v="23.3"/>
    <x v="0"/>
  </r>
  <r>
    <x v="0"/>
    <s v="加古川市"/>
    <x v="20"/>
    <x v="2"/>
    <n v="363"/>
    <n v="7.88"/>
    <n v="139"/>
    <n v="5.49"/>
    <n v="224"/>
    <n v="11.01"/>
    <x v="0"/>
  </r>
  <r>
    <x v="0"/>
    <s v="加古川市"/>
    <x v="20"/>
    <x v="3"/>
    <n v="8"/>
    <n v="0.17"/>
    <n v="0"/>
    <n v="0"/>
    <n v="8"/>
    <n v="0.39"/>
    <x v="0"/>
  </r>
  <r>
    <x v="0"/>
    <s v="加古川市"/>
    <x v="20"/>
    <x v="4"/>
    <n v="27"/>
    <n v="0.59"/>
    <n v="0"/>
    <n v="0"/>
    <n v="27"/>
    <n v="1.33"/>
    <x v="0"/>
  </r>
  <r>
    <x v="0"/>
    <s v="加古川市"/>
    <x v="20"/>
    <x v="5"/>
    <n v="41"/>
    <n v="0.89"/>
    <n v="5"/>
    <n v="0.2"/>
    <n v="36"/>
    <n v="1.77"/>
    <x v="0"/>
  </r>
  <r>
    <x v="0"/>
    <s v="加古川市"/>
    <x v="20"/>
    <x v="6"/>
    <n v="940"/>
    <n v="20.420000000000002"/>
    <n v="447"/>
    <n v="17.66"/>
    <n v="493"/>
    <n v="24.24"/>
    <x v="0"/>
  </r>
  <r>
    <x v="0"/>
    <s v="加古川市"/>
    <x v="20"/>
    <x v="7"/>
    <n v="32"/>
    <n v="0.7"/>
    <n v="10"/>
    <n v="0.4"/>
    <n v="22"/>
    <n v="1.08"/>
    <x v="0"/>
  </r>
  <r>
    <x v="0"/>
    <s v="加古川市"/>
    <x v="20"/>
    <x v="8"/>
    <n v="468"/>
    <n v="10.17"/>
    <n v="207"/>
    <n v="8.18"/>
    <n v="261"/>
    <n v="12.83"/>
    <x v="0"/>
  </r>
  <r>
    <x v="0"/>
    <s v="加古川市"/>
    <x v="20"/>
    <x v="9"/>
    <n v="209"/>
    <n v="4.54"/>
    <n v="131"/>
    <n v="5.18"/>
    <n v="78"/>
    <n v="3.83"/>
    <x v="0"/>
  </r>
  <r>
    <x v="0"/>
    <s v="加古川市"/>
    <x v="20"/>
    <x v="10"/>
    <n v="578"/>
    <n v="12.55"/>
    <n v="510"/>
    <n v="20.149999999999999"/>
    <n v="66"/>
    <n v="3.24"/>
    <x v="0"/>
  </r>
  <r>
    <x v="0"/>
    <s v="加古川市"/>
    <x v="20"/>
    <x v="11"/>
    <n v="636"/>
    <n v="13.81"/>
    <n v="505"/>
    <n v="19.95"/>
    <n v="129"/>
    <n v="6.34"/>
    <x v="5"/>
  </r>
  <r>
    <x v="0"/>
    <s v="加古川市"/>
    <x v="20"/>
    <x v="12"/>
    <n v="246"/>
    <n v="5.34"/>
    <n v="182"/>
    <n v="7.19"/>
    <n v="52"/>
    <n v="2.56"/>
    <x v="5"/>
  </r>
  <r>
    <x v="0"/>
    <s v="加古川市"/>
    <x v="20"/>
    <x v="13"/>
    <n v="228"/>
    <n v="4.95"/>
    <n v="145"/>
    <n v="5.73"/>
    <n v="72"/>
    <n v="3.54"/>
    <x v="0"/>
  </r>
  <r>
    <x v="0"/>
    <s v="加古川市"/>
    <x v="20"/>
    <x v="14"/>
    <n v="165"/>
    <n v="3.58"/>
    <n v="61"/>
    <n v="2.41"/>
    <n v="92"/>
    <n v="4.5199999999999996"/>
    <x v="16"/>
  </r>
  <r>
    <x v="0"/>
    <s v="赤穂市"/>
    <x v="21"/>
    <x v="0"/>
    <n v="0"/>
    <n v="0"/>
    <n v="0"/>
    <n v="0"/>
    <n v="0"/>
    <n v="0"/>
    <x v="0"/>
  </r>
  <r>
    <x v="0"/>
    <s v="赤穂市"/>
    <x v="21"/>
    <x v="1"/>
    <n v="140"/>
    <n v="14.16"/>
    <n v="43"/>
    <n v="7.54"/>
    <n v="97"/>
    <n v="24.25"/>
    <x v="0"/>
  </r>
  <r>
    <x v="0"/>
    <s v="赤穂市"/>
    <x v="21"/>
    <x v="2"/>
    <n v="56"/>
    <n v="5.66"/>
    <n v="18"/>
    <n v="3.16"/>
    <n v="38"/>
    <n v="9.5"/>
    <x v="0"/>
  </r>
  <r>
    <x v="0"/>
    <s v="赤穂市"/>
    <x v="21"/>
    <x v="3"/>
    <n v="0"/>
    <n v="0"/>
    <n v="0"/>
    <n v="0"/>
    <n v="0"/>
    <n v="0"/>
    <x v="0"/>
  </r>
  <r>
    <x v="0"/>
    <s v="赤穂市"/>
    <x v="21"/>
    <x v="4"/>
    <n v="1"/>
    <n v="0.1"/>
    <n v="0"/>
    <n v="0"/>
    <n v="1"/>
    <n v="0.25"/>
    <x v="0"/>
  </r>
  <r>
    <x v="0"/>
    <s v="赤穂市"/>
    <x v="21"/>
    <x v="5"/>
    <n v="12"/>
    <n v="1.21"/>
    <n v="3"/>
    <n v="0.53"/>
    <n v="9"/>
    <n v="2.25"/>
    <x v="0"/>
  </r>
  <r>
    <x v="0"/>
    <s v="赤穂市"/>
    <x v="21"/>
    <x v="6"/>
    <n v="255"/>
    <n v="25.78"/>
    <n v="142"/>
    <n v="24.91"/>
    <n v="113"/>
    <n v="28.25"/>
    <x v="0"/>
  </r>
  <r>
    <x v="0"/>
    <s v="赤穂市"/>
    <x v="21"/>
    <x v="7"/>
    <n v="12"/>
    <n v="1.21"/>
    <n v="2"/>
    <n v="0.35"/>
    <n v="9"/>
    <n v="2.25"/>
    <x v="5"/>
  </r>
  <r>
    <x v="0"/>
    <s v="赤穂市"/>
    <x v="21"/>
    <x v="8"/>
    <n v="71"/>
    <n v="7.18"/>
    <n v="35"/>
    <n v="6.14"/>
    <n v="35"/>
    <n v="8.75"/>
    <x v="0"/>
  </r>
  <r>
    <x v="0"/>
    <s v="赤穂市"/>
    <x v="21"/>
    <x v="9"/>
    <n v="36"/>
    <n v="3.64"/>
    <n v="27"/>
    <n v="4.74"/>
    <n v="8"/>
    <n v="2"/>
    <x v="0"/>
  </r>
  <r>
    <x v="0"/>
    <s v="赤穂市"/>
    <x v="21"/>
    <x v="10"/>
    <n v="145"/>
    <n v="14.66"/>
    <n v="125"/>
    <n v="21.93"/>
    <n v="20"/>
    <n v="5"/>
    <x v="0"/>
  </r>
  <r>
    <x v="0"/>
    <s v="赤穂市"/>
    <x v="21"/>
    <x v="11"/>
    <n v="123"/>
    <n v="12.44"/>
    <n v="107"/>
    <n v="18.77"/>
    <n v="16"/>
    <n v="4"/>
    <x v="0"/>
  </r>
  <r>
    <x v="0"/>
    <s v="赤穂市"/>
    <x v="21"/>
    <x v="12"/>
    <n v="56"/>
    <n v="5.66"/>
    <n v="34"/>
    <n v="5.96"/>
    <n v="13"/>
    <n v="3.25"/>
    <x v="0"/>
  </r>
  <r>
    <x v="0"/>
    <s v="赤穂市"/>
    <x v="21"/>
    <x v="13"/>
    <n v="57"/>
    <n v="5.76"/>
    <n v="26"/>
    <n v="4.5599999999999996"/>
    <n v="25"/>
    <n v="6.25"/>
    <x v="0"/>
  </r>
  <r>
    <x v="0"/>
    <s v="赤穂市"/>
    <x v="21"/>
    <x v="14"/>
    <n v="25"/>
    <n v="2.5299999999999998"/>
    <n v="8"/>
    <n v="1.4"/>
    <n v="16"/>
    <n v="4"/>
    <x v="0"/>
  </r>
  <r>
    <x v="0"/>
    <s v="西脇市"/>
    <x v="22"/>
    <x v="0"/>
    <n v="0"/>
    <n v="0"/>
    <n v="0"/>
    <n v="0"/>
    <n v="0"/>
    <n v="0"/>
    <x v="0"/>
  </r>
  <r>
    <x v="0"/>
    <s v="西脇市"/>
    <x v="22"/>
    <x v="1"/>
    <n v="164"/>
    <n v="12.34"/>
    <n v="81"/>
    <n v="10.28"/>
    <n v="83"/>
    <n v="15.69"/>
    <x v="0"/>
  </r>
  <r>
    <x v="0"/>
    <s v="西脇市"/>
    <x v="22"/>
    <x v="2"/>
    <n v="282"/>
    <n v="21.22"/>
    <n v="159"/>
    <n v="20.18"/>
    <n v="123"/>
    <n v="23.25"/>
    <x v="0"/>
  </r>
  <r>
    <x v="0"/>
    <s v="西脇市"/>
    <x v="22"/>
    <x v="3"/>
    <n v="1"/>
    <n v="0.08"/>
    <n v="0"/>
    <n v="0"/>
    <n v="1"/>
    <n v="0.19"/>
    <x v="0"/>
  </r>
  <r>
    <x v="0"/>
    <s v="西脇市"/>
    <x v="22"/>
    <x v="4"/>
    <n v="4"/>
    <n v="0.3"/>
    <n v="1"/>
    <n v="0.13"/>
    <n v="3"/>
    <n v="0.56999999999999995"/>
    <x v="0"/>
  </r>
  <r>
    <x v="0"/>
    <s v="西脇市"/>
    <x v="22"/>
    <x v="5"/>
    <n v="10"/>
    <n v="0.75"/>
    <n v="3"/>
    <n v="0.38"/>
    <n v="7"/>
    <n v="1.32"/>
    <x v="0"/>
  </r>
  <r>
    <x v="0"/>
    <s v="西脇市"/>
    <x v="22"/>
    <x v="6"/>
    <n v="324"/>
    <n v="24.38"/>
    <n v="174"/>
    <n v="22.08"/>
    <n v="148"/>
    <n v="27.98"/>
    <x v="1"/>
  </r>
  <r>
    <x v="0"/>
    <s v="西脇市"/>
    <x v="22"/>
    <x v="7"/>
    <n v="16"/>
    <n v="1.2"/>
    <n v="4"/>
    <n v="0.51"/>
    <n v="12"/>
    <n v="2.27"/>
    <x v="0"/>
  </r>
  <r>
    <x v="0"/>
    <s v="西脇市"/>
    <x v="22"/>
    <x v="8"/>
    <n v="53"/>
    <n v="3.99"/>
    <n v="17"/>
    <n v="2.16"/>
    <n v="36"/>
    <n v="6.81"/>
    <x v="0"/>
  </r>
  <r>
    <x v="0"/>
    <s v="西脇市"/>
    <x v="22"/>
    <x v="9"/>
    <n v="61"/>
    <n v="4.59"/>
    <n v="41"/>
    <n v="5.2"/>
    <n v="20"/>
    <n v="3.78"/>
    <x v="0"/>
  </r>
  <r>
    <x v="0"/>
    <s v="西脇市"/>
    <x v="22"/>
    <x v="10"/>
    <n v="144"/>
    <n v="10.84"/>
    <n v="130"/>
    <n v="16.5"/>
    <n v="12"/>
    <n v="2.27"/>
    <x v="5"/>
  </r>
  <r>
    <x v="0"/>
    <s v="西脇市"/>
    <x v="22"/>
    <x v="11"/>
    <n v="139"/>
    <n v="10.46"/>
    <n v="110"/>
    <n v="13.96"/>
    <n v="29"/>
    <n v="5.48"/>
    <x v="0"/>
  </r>
  <r>
    <x v="0"/>
    <s v="西脇市"/>
    <x v="22"/>
    <x v="12"/>
    <n v="36"/>
    <n v="2.71"/>
    <n v="23"/>
    <n v="2.92"/>
    <n v="13"/>
    <n v="2.46"/>
    <x v="0"/>
  </r>
  <r>
    <x v="0"/>
    <s v="西脇市"/>
    <x v="22"/>
    <x v="13"/>
    <n v="42"/>
    <n v="3.16"/>
    <n v="26"/>
    <n v="3.3"/>
    <n v="11"/>
    <n v="2.08"/>
    <x v="5"/>
  </r>
  <r>
    <x v="0"/>
    <s v="西脇市"/>
    <x v="22"/>
    <x v="14"/>
    <n v="53"/>
    <n v="3.99"/>
    <n v="19"/>
    <n v="2.41"/>
    <n v="31"/>
    <n v="5.86"/>
    <x v="1"/>
  </r>
  <r>
    <x v="0"/>
    <s v="宝塚市"/>
    <x v="23"/>
    <x v="0"/>
    <n v="0"/>
    <n v="0"/>
    <n v="0"/>
    <n v="0"/>
    <n v="0"/>
    <n v="0"/>
    <x v="0"/>
  </r>
  <r>
    <x v="0"/>
    <s v="宝塚市"/>
    <x v="23"/>
    <x v="1"/>
    <n v="395"/>
    <n v="13.04"/>
    <n v="77"/>
    <n v="5.76"/>
    <n v="318"/>
    <n v="18.88"/>
    <x v="0"/>
  </r>
  <r>
    <x v="0"/>
    <s v="宝塚市"/>
    <x v="23"/>
    <x v="2"/>
    <n v="86"/>
    <n v="2.84"/>
    <n v="32"/>
    <n v="2.39"/>
    <n v="54"/>
    <n v="3.21"/>
    <x v="0"/>
  </r>
  <r>
    <x v="0"/>
    <s v="宝塚市"/>
    <x v="23"/>
    <x v="3"/>
    <n v="2"/>
    <n v="7.0000000000000007E-2"/>
    <n v="0"/>
    <n v="0"/>
    <n v="2"/>
    <n v="0.12"/>
    <x v="0"/>
  </r>
  <r>
    <x v="0"/>
    <s v="宝塚市"/>
    <x v="23"/>
    <x v="4"/>
    <n v="47"/>
    <n v="1.55"/>
    <n v="3"/>
    <n v="0.22"/>
    <n v="44"/>
    <n v="2.61"/>
    <x v="0"/>
  </r>
  <r>
    <x v="0"/>
    <s v="宝塚市"/>
    <x v="23"/>
    <x v="5"/>
    <n v="20"/>
    <n v="0.66"/>
    <n v="0"/>
    <n v="0"/>
    <n v="19"/>
    <n v="1.1299999999999999"/>
    <x v="5"/>
  </r>
  <r>
    <x v="0"/>
    <s v="宝塚市"/>
    <x v="23"/>
    <x v="6"/>
    <n v="661"/>
    <n v="21.82"/>
    <n v="289"/>
    <n v="21.62"/>
    <n v="372"/>
    <n v="22.09"/>
    <x v="0"/>
  </r>
  <r>
    <x v="0"/>
    <s v="宝塚市"/>
    <x v="23"/>
    <x v="7"/>
    <n v="19"/>
    <n v="0.63"/>
    <n v="2"/>
    <n v="0.15"/>
    <n v="17"/>
    <n v="1.01"/>
    <x v="0"/>
  </r>
  <r>
    <x v="0"/>
    <s v="宝塚市"/>
    <x v="23"/>
    <x v="8"/>
    <n v="466"/>
    <n v="15.38"/>
    <n v="79"/>
    <n v="5.91"/>
    <n v="386"/>
    <n v="22.92"/>
    <x v="5"/>
  </r>
  <r>
    <x v="0"/>
    <s v="宝塚市"/>
    <x v="23"/>
    <x v="9"/>
    <n v="205"/>
    <n v="6.77"/>
    <n v="90"/>
    <n v="6.73"/>
    <n v="115"/>
    <n v="6.83"/>
    <x v="0"/>
  </r>
  <r>
    <x v="0"/>
    <s v="宝塚市"/>
    <x v="23"/>
    <x v="10"/>
    <n v="306"/>
    <n v="10.1"/>
    <n v="251"/>
    <n v="18.77"/>
    <n v="55"/>
    <n v="3.27"/>
    <x v="0"/>
  </r>
  <r>
    <x v="0"/>
    <s v="宝塚市"/>
    <x v="23"/>
    <x v="11"/>
    <n v="361"/>
    <n v="11.91"/>
    <n v="253"/>
    <n v="18.920000000000002"/>
    <n v="105"/>
    <n v="6.24"/>
    <x v="0"/>
  </r>
  <r>
    <x v="0"/>
    <s v="宝塚市"/>
    <x v="23"/>
    <x v="12"/>
    <n v="165"/>
    <n v="5.45"/>
    <n v="118"/>
    <n v="8.83"/>
    <n v="46"/>
    <n v="2.73"/>
    <x v="5"/>
  </r>
  <r>
    <x v="0"/>
    <s v="宝塚市"/>
    <x v="23"/>
    <x v="13"/>
    <n v="192"/>
    <n v="6.34"/>
    <n v="123"/>
    <n v="9.1999999999999993"/>
    <n v="69"/>
    <n v="4.0999999999999996"/>
    <x v="0"/>
  </r>
  <r>
    <x v="0"/>
    <s v="宝塚市"/>
    <x v="23"/>
    <x v="14"/>
    <n v="105"/>
    <n v="3.47"/>
    <n v="20"/>
    <n v="1.5"/>
    <n v="82"/>
    <n v="4.87"/>
    <x v="14"/>
  </r>
  <r>
    <x v="0"/>
    <s v="三木市"/>
    <x v="24"/>
    <x v="0"/>
    <n v="0"/>
    <n v="0"/>
    <n v="0"/>
    <n v="0"/>
    <n v="0"/>
    <n v="0"/>
    <x v="0"/>
  </r>
  <r>
    <x v="0"/>
    <s v="三木市"/>
    <x v="24"/>
    <x v="1"/>
    <n v="234"/>
    <n v="13.36"/>
    <n v="105"/>
    <n v="10.44"/>
    <n v="129"/>
    <n v="17.53"/>
    <x v="0"/>
  </r>
  <r>
    <x v="0"/>
    <s v="三木市"/>
    <x v="24"/>
    <x v="2"/>
    <n v="311"/>
    <n v="17.75"/>
    <n v="148"/>
    <n v="14.71"/>
    <n v="163"/>
    <n v="22.15"/>
    <x v="0"/>
  </r>
  <r>
    <x v="0"/>
    <s v="三木市"/>
    <x v="24"/>
    <x v="3"/>
    <n v="9"/>
    <n v="0.51"/>
    <n v="0"/>
    <n v="0"/>
    <n v="9"/>
    <n v="1.22"/>
    <x v="0"/>
  </r>
  <r>
    <x v="0"/>
    <s v="三木市"/>
    <x v="24"/>
    <x v="4"/>
    <n v="10"/>
    <n v="0.56999999999999995"/>
    <n v="1"/>
    <n v="0.1"/>
    <n v="9"/>
    <n v="1.22"/>
    <x v="0"/>
  </r>
  <r>
    <x v="0"/>
    <s v="三木市"/>
    <x v="24"/>
    <x v="5"/>
    <n v="23"/>
    <n v="1.31"/>
    <n v="2"/>
    <n v="0.2"/>
    <n v="21"/>
    <n v="2.85"/>
    <x v="0"/>
  </r>
  <r>
    <x v="0"/>
    <s v="三木市"/>
    <x v="24"/>
    <x v="6"/>
    <n v="422"/>
    <n v="24.09"/>
    <n v="226"/>
    <n v="22.47"/>
    <n v="194"/>
    <n v="26.36"/>
    <x v="1"/>
  </r>
  <r>
    <x v="0"/>
    <s v="三木市"/>
    <x v="24"/>
    <x v="7"/>
    <n v="12"/>
    <n v="0.68"/>
    <n v="1"/>
    <n v="0.1"/>
    <n v="11"/>
    <n v="1.49"/>
    <x v="0"/>
  </r>
  <r>
    <x v="0"/>
    <s v="三木市"/>
    <x v="24"/>
    <x v="8"/>
    <n v="74"/>
    <n v="4.22"/>
    <n v="15"/>
    <n v="1.49"/>
    <n v="59"/>
    <n v="8.02"/>
    <x v="0"/>
  </r>
  <r>
    <x v="0"/>
    <s v="三木市"/>
    <x v="24"/>
    <x v="9"/>
    <n v="54"/>
    <n v="3.08"/>
    <n v="37"/>
    <n v="3.68"/>
    <n v="17"/>
    <n v="2.31"/>
    <x v="0"/>
  </r>
  <r>
    <x v="0"/>
    <s v="三木市"/>
    <x v="24"/>
    <x v="10"/>
    <n v="212"/>
    <n v="12.1"/>
    <n v="190"/>
    <n v="18.89"/>
    <n v="22"/>
    <n v="2.99"/>
    <x v="0"/>
  </r>
  <r>
    <x v="0"/>
    <s v="三木市"/>
    <x v="24"/>
    <x v="11"/>
    <n v="192"/>
    <n v="10.96"/>
    <n v="157"/>
    <n v="15.61"/>
    <n v="34"/>
    <n v="4.62"/>
    <x v="0"/>
  </r>
  <r>
    <x v="0"/>
    <s v="三木市"/>
    <x v="24"/>
    <x v="12"/>
    <n v="64"/>
    <n v="3.65"/>
    <n v="43"/>
    <n v="4.2699999999999996"/>
    <n v="18"/>
    <n v="2.4500000000000002"/>
    <x v="0"/>
  </r>
  <r>
    <x v="0"/>
    <s v="三木市"/>
    <x v="24"/>
    <x v="13"/>
    <n v="73"/>
    <n v="4.17"/>
    <n v="45"/>
    <n v="4.47"/>
    <n v="26"/>
    <n v="3.53"/>
    <x v="0"/>
  </r>
  <r>
    <x v="0"/>
    <s v="三木市"/>
    <x v="24"/>
    <x v="14"/>
    <n v="62"/>
    <n v="3.54"/>
    <n v="36"/>
    <n v="3.58"/>
    <n v="24"/>
    <n v="3.26"/>
    <x v="0"/>
  </r>
  <r>
    <x v="0"/>
    <s v="高砂市"/>
    <x v="25"/>
    <x v="0"/>
    <n v="1"/>
    <n v="0.06"/>
    <n v="1"/>
    <n v="0.1"/>
    <n v="0"/>
    <n v="0"/>
    <x v="0"/>
  </r>
  <r>
    <x v="0"/>
    <s v="高砂市"/>
    <x v="25"/>
    <x v="1"/>
    <n v="267"/>
    <n v="15.4"/>
    <n v="63"/>
    <n v="6.41"/>
    <n v="204"/>
    <n v="27.49"/>
    <x v="0"/>
  </r>
  <r>
    <x v="0"/>
    <s v="高砂市"/>
    <x v="25"/>
    <x v="2"/>
    <n v="123"/>
    <n v="7.09"/>
    <n v="40"/>
    <n v="4.07"/>
    <n v="83"/>
    <n v="11.19"/>
    <x v="0"/>
  </r>
  <r>
    <x v="0"/>
    <s v="高砂市"/>
    <x v="25"/>
    <x v="3"/>
    <n v="0"/>
    <n v="0"/>
    <n v="0"/>
    <n v="0"/>
    <n v="0"/>
    <n v="0"/>
    <x v="0"/>
  </r>
  <r>
    <x v="0"/>
    <s v="高砂市"/>
    <x v="25"/>
    <x v="4"/>
    <n v="8"/>
    <n v="0.46"/>
    <n v="0"/>
    <n v="0"/>
    <n v="8"/>
    <n v="1.08"/>
    <x v="0"/>
  </r>
  <r>
    <x v="0"/>
    <s v="高砂市"/>
    <x v="25"/>
    <x v="5"/>
    <n v="19"/>
    <n v="1.1000000000000001"/>
    <n v="3"/>
    <n v="0.31"/>
    <n v="16"/>
    <n v="2.16"/>
    <x v="0"/>
  </r>
  <r>
    <x v="0"/>
    <s v="高砂市"/>
    <x v="25"/>
    <x v="6"/>
    <n v="344"/>
    <n v="19.84"/>
    <n v="194"/>
    <n v="19.739999999999998"/>
    <n v="150"/>
    <n v="20.22"/>
    <x v="0"/>
  </r>
  <r>
    <x v="0"/>
    <s v="高砂市"/>
    <x v="25"/>
    <x v="7"/>
    <n v="13"/>
    <n v="0.75"/>
    <n v="4"/>
    <n v="0.41"/>
    <n v="9"/>
    <n v="1.21"/>
    <x v="0"/>
  </r>
  <r>
    <x v="0"/>
    <s v="高砂市"/>
    <x v="25"/>
    <x v="8"/>
    <n v="144"/>
    <n v="8.3000000000000007"/>
    <n v="56"/>
    <n v="5.7"/>
    <n v="88"/>
    <n v="11.86"/>
    <x v="0"/>
  </r>
  <r>
    <x v="0"/>
    <s v="高砂市"/>
    <x v="25"/>
    <x v="9"/>
    <n v="88"/>
    <n v="5.07"/>
    <n v="49"/>
    <n v="4.9800000000000004"/>
    <n v="39"/>
    <n v="5.26"/>
    <x v="0"/>
  </r>
  <r>
    <x v="0"/>
    <s v="高砂市"/>
    <x v="25"/>
    <x v="10"/>
    <n v="277"/>
    <n v="15.97"/>
    <n v="247"/>
    <n v="25.13"/>
    <n v="29"/>
    <n v="3.91"/>
    <x v="0"/>
  </r>
  <r>
    <x v="0"/>
    <s v="高砂市"/>
    <x v="25"/>
    <x v="11"/>
    <n v="225"/>
    <n v="12.98"/>
    <n v="192"/>
    <n v="19.53"/>
    <n v="33"/>
    <n v="4.45"/>
    <x v="0"/>
  </r>
  <r>
    <x v="0"/>
    <s v="高砂市"/>
    <x v="25"/>
    <x v="12"/>
    <n v="102"/>
    <n v="5.88"/>
    <n v="75"/>
    <n v="7.63"/>
    <n v="20"/>
    <n v="2.7"/>
    <x v="0"/>
  </r>
  <r>
    <x v="0"/>
    <s v="高砂市"/>
    <x v="25"/>
    <x v="13"/>
    <n v="61"/>
    <n v="3.52"/>
    <n v="40"/>
    <n v="4.07"/>
    <n v="20"/>
    <n v="2.7"/>
    <x v="0"/>
  </r>
  <r>
    <x v="0"/>
    <s v="高砂市"/>
    <x v="25"/>
    <x v="14"/>
    <n v="62"/>
    <n v="3.58"/>
    <n v="19"/>
    <n v="1.93"/>
    <n v="43"/>
    <n v="5.8"/>
    <x v="0"/>
  </r>
  <r>
    <x v="0"/>
    <s v="川西市"/>
    <x v="26"/>
    <x v="0"/>
    <n v="0"/>
    <n v="0"/>
    <n v="0"/>
    <n v="0"/>
    <n v="0"/>
    <n v="0"/>
    <x v="0"/>
  </r>
  <r>
    <x v="0"/>
    <s v="川西市"/>
    <x v="26"/>
    <x v="1"/>
    <n v="247"/>
    <n v="11.39"/>
    <n v="53"/>
    <n v="5.09"/>
    <n v="194"/>
    <n v="17.399999999999999"/>
    <x v="0"/>
  </r>
  <r>
    <x v="0"/>
    <s v="川西市"/>
    <x v="26"/>
    <x v="2"/>
    <n v="155"/>
    <n v="7.15"/>
    <n v="44"/>
    <n v="4.2300000000000004"/>
    <n v="111"/>
    <n v="9.9600000000000009"/>
    <x v="0"/>
  </r>
  <r>
    <x v="0"/>
    <s v="川西市"/>
    <x v="26"/>
    <x v="3"/>
    <n v="1"/>
    <n v="0.05"/>
    <n v="0"/>
    <n v="0"/>
    <n v="1"/>
    <n v="0.09"/>
    <x v="0"/>
  </r>
  <r>
    <x v="0"/>
    <s v="川西市"/>
    <x v="26"/>
    <x v="4"/>
    <n v="23"/>
    <n v="1.06"/>
    <n v="3"/>
    <n v="0.28999999999999998"/>
    <n v="20"/>
    <n v="1.79"/>
    <x v="0"/>
  </r>
  <r>
    <x v="0"/>
    <s v="川西市"/>
    <x v="26"/>
    <x v="5"/>
    <n v="11"/>
    <n v="0.51"/>
    <n v="2"/>
    <n v="0.19"/>
    <n v="9"/>
    <n v="0.81"/>
    <x v="0"/>
  </r>
  <r>
    <x v="0"/>
    <s v="川西市"/>
    <x v="26"/>
    <x v="6"/>
    <n v="491"/>
    <n v="22.64"/>
    <n v="228"/>
    <n v="21.9"/>
    <n v="261"/>
    <n v="23.41"/>
    <x v="1"/>
  </r>
  <r>
    <x v="0"/>
    <s v="川西市"/>
    <x v="26"/>
    <x v="7"/>
    <n v="12"/>
    <n v="0.55000000000000004"/>
    <n v="3"/>
    <n v="0.28999999999999998"/>
    <n v="9"/>
    <n v="0.81"/>
    <x v="0"/>
  </r>
  <r>
    <x v="0"/>
    <s v="川西市"/>
    <x v="26"/>
    <x v="8"/>
    <n v="271"/>
    <n v="12.49"/>
    <n v="71"/>
    <n v="6.82"/>
    <n v="199"/>
    <n v="17.850000000000001"/>
    <x v="5"/>
  </r>
  <r>
    <x v="0"/>
    <s v="川西市"/>
    <x v="26"/>
    <x v="9"/>
    <n v="120"/>
    <n v="5.53"/>
    <n v="57"/>
    <n v="5.48"/>
    <n v="63"/>
    <n v="5.65"/>
    <x v="0"/>
  </r>
  <r>
    <x v="0"/>
    <s v="川西市"/>
    <x v="26"/>
    <x v="10"/>
    <n v="241"/>
    <n v="11.11"/>
    <n v="199"/>
    <n v="19.12"/>
    <n v="42"/>
    <n v="3.77"/>
    <x v="0"/>
  </r>
  <r>
    <x v="0"/>
    <s v="川西市"/>
    <x v="26"/>
    <x v="11"/>
    <n v="291"/>
    <n v="13.42"/>
    <n v="210"/>
    <n v="20.170000000000002"/>
    <n v="81"/>
    <n v="7.26"/>
    <x v="0"/>
  </r>
  <r>
    <x v="0"/>
    <s v="川西市"/>
    <x v="26"/>
    <x v="12"/>
    <n v="121"/>
    <n v="5.58"/>
    <n v="76"/>
    <n v="7.3"/>
    <n v="42"/>
    <n v="3.77"/>
    <x v="0"/>
  </r>
  <r>
    <x v="0"/>
    <s v="川西市"/>
    <x v="26"/>
    <x v="13"/>
    <n v="119"/>
    <n v="5.49"/>
    <n v="68"/>
    <n v="6.53"/>
    <n v="49"/>
    <n v="4.3899999999999997"/>
    <x v="5"/>
  </r>
  <r>
    <x v="0"/>
    <s v="川西市"/>
    <x v="26"/>
    <x v="14"/>
    <n v="66"/>
    <n v="3.04"/>
    <n v="27"/>
    <n v="2.59"/>
    <n v="34"/>
    <n v="3.05"/>
    <x v="14"/>
  </r>
  <r>
    <x v="0"/>
    <s v="小野市"/>
    <x v="27"/>
    <x v="0"/>
    <n v="1"/>
    <n v="0.08"/>
    <n v="0"/>
    <n v="0"/>
    <n v="1"/>
    <n v="0.22"/>
    <x v="0"/>
  </r>
  <r>
    <x v="0"/>
    <s v="小野市"/>
    <x v="27"/>
    <x v="1"/>
    <n v="135"/>
    <n v="11.43"/>
    <n v="60"/>
    <n v="8.4700000000000006"/>
    <n v="75"/>
    <n v="16.38"/>
    <x v="0"/>
  </r>
  <r>
    <x v="0"/>
    <s v="小野市"/>
    <x v="27"/>
    <x v="2"/>
    <n v="271"/>
    <n v="22.95"/>
    <n v="163"/>
    <n v="23.02"/>
    <n v="108"/>
    <n v="23.58"/>
    <x v="0"/>
  </r>
  <r>
    <x v="0"/>
    <s v="小野市"/>
    <x v="27"/>
    <x v="3"/>
    <n v="7"/>
    <n v="0.59"/>
    <n v="1"/>
    <n v="0.14000000000000001"/>
    <n v="5"/>
    <n v="1.0900000000000001"/>
    <x v="0"/>
  </r>
  <r>
    <x v="0"/>
    <s v="小野市"/>
    <x v="27"/>
    <x v="4"/>
    <n v="6"/>
    <n v="0.51"/>
    <n v="0"/>
    <n v="0"/>
    <n v="6"/>
    <n v="1.31"/>
    <x v="0"/>
  </r>
  <r>
    <x v="0"/>
    <s v="小野市"/>
    <x v="27"/>
    <x v="5"/>
    <n v="13"/>
    <n v="1.1000000000000001"/>
    <n v="2"/>
    <n v="0.28000000000000003"/>
    <n v="10"/>
    <n v="2.1800000000000002"/>
    <x v="5"/>
  </r>
  <r>
    <x v="0"/>
    <s v="小野市"/>
    <x v="27"/>
    <x v="6"/>
    <n v="281"/>
    <n v="23.79"/>
    <n v="159"/>
    <n v="22.46"/>
    <n v="120"/>
    <n v="26.2"/>
    <x v="1"/>
  </r>
  <r>
    <x v="0"/>
    <s v="小野市"/>
    <x v="27"/>
    <x v="7"/>
    <n v="9"/>
    <n v="0.76"/>
    <n v="3"/>
    <n v="0.42"/>
    <n v="6"/>
    <n v="1.31"/>
    <x v="0"/>
  </r>
  <r>
    <x v="0"/>
    <s v="小野市"/>
    <x v="27"/>
    <x v="8"/>
    <n v="77"/>
    <n v="6.52"/>
    <n v="33"/>
    <n v="4.66"/>
    <n v="44"/>
    <n v="9.61"/>
    <x v="0"/>
  </r>
  <r>
    <x v="0"/>
    <s v="小野市"/>
    <x v="27"/>
    <x v="9"/>
    <n v="51"/>
    <n v="4.32"/>
    <n v="37"/>
    <n v="5.23"/>
    <n v="13"/>
    <n v="2.84"/>
    <x v="0"/>
  </r>
  <r>
    <x v="0"/>
    <s v="小野市"/>
    <x v="27"/>
    <x v="10"/>
    <n v="117"/>
    <n v="9.91"/>
    <n v="104"/>
    <n v="14.69"/>
    <n v="12"/>
    <n v="2.62"/>
    <x v="5"/>
  </r>
  <r>
    <x v="0"/>
    <s v="小野市"/>
    <x v="27"/>
    <x v="11"/>
    <n v="103"/>
    <n v="8.7200000000000006"/>
    <n v="82"/>
    <n v="11.58"/>
    <n v="20"/>
    <n v="4.37"/>
    <x v="5"/>
  </r>
  <r>
    <x v="0"/>
    <s v="小野市"/>
    <x v="27"/>
    <x v="12"/>
    <n v="34"/>
    <n v="2.88"/>
    <n v="25"/>
    <n v="3.53"/>
    <n v="7"/>
    <n v="1.53"/>
    <x v="0"/>
  </r>
  <r>
    <x v="0"/>
    <s v="小野市"/>
    <x v="27"/>
    <x v="13"/>
    <n v="31"/>
    <n v="2.62"/>
    <n v="21"/>
    <n v="2.97"/>
    <n v="10"/>
    <n v="2.1800000000000002"/>
    <x v="0"/>
  </r>
  <r>
    <x v="0"/>
    <s v="小野市"/>
    <x v="27"/>
    <x v="14"/>
    <n v="45"/>
    <n v="3.81"/>
    <n v="18"/>
    <n v="2.54"/>
    <n v="21"/>
    <n v="4.59"/>
    <x v="0"/>
  </r>
  <r>
    <x v="0"/>
    <s v="三田市"/>
    <x v="28"/>
    <x v="0"/>
    <n v="0"/>
    <n v="0"/>
    <n v="0"/>
    <n v="0"/>
    <n v="0"/>
    <n v="0"/>
    <x v="0"/>
  </r>
  <r>
    <x v="0"/>
    <s v="三田市"/>
    <x v="28"/>
    <x v="1"/>
    <n v="169"/>
    <n v="12.92"/>
    <n v="27"/>
    <n v="4.96"/>
    <n v="142"/>
    <n v="18.61"/>
    <x v="0"/>
  </r>
  <r>
    <x v="0"/>
    <s v="三田市"/>
    <x v="28"/>
    <x v="2"/>
    <n v="81"/>
    <n v="6.19"/>
    <n v="24"/>
    <n v="4.41"/>
    <n v="57"/>
    <n v="7.47"/>
    <x v="0"/>
  </r>
  <r>
    <x v="0"/>
    <s v="三田市"/>
    <x v="28"/>
    <x v="3"/>
    <n v="2"/>
    <n v="0.15"/>
    <n v="0"/>
    <n v="0"/>
    <n v="2"/>
    <n v="0.26"/>
    <x v="0"/>
  </r>
  <r>
    <x v="0"/>
    <s v="三田市"/>
    <x v="28"/>
    <x v="4"/>
    <n v="15"/>
    <n v="1.1499999999999999"/>
    <n v="0"/>
    <n v="0"/>
    <n v="15"/>
    <n v="1.97"/>
    <x v="0"/>
  </r>
  <r>
    <x v="0"/>
    <s v="三田市"/>
    <x v="28"/>
    <x v="5"/>
    <n v="14"/>
    <n v="1.07"/>
    <n v="0"/>
    <n v="0"/>
    <n v="14"/>
    <n v="1.83"/>
    <x v="0"/>
  </r>
  <r>
    <x v="0"/>
    <s v="三田市"/>
    <x v="28"/>
    <x v="6"/>
    <n v="323"/>
    <n v="24.69"/>
    <n v="148"/>
    <n v="27.21"/>
    <n v="175"/>
    <n v="22.94"/>
    <x v="0"/>
  </r>
  <r>
    <x v="0"/>
    <s v="三田市"/>
    <x v="28"/>
    <x v="7"/>
    <n v="8"/>
    <n v="0.61"/>
    <n v="2"/>
    <n v="0.37"/>
    <n v="6"/>
    <n v="0.79"/>
    <x v="0"/>
  </r>
  <r>
    <x v="0"/>
    <s v="三田市"/>
    <x v="28"/>
    <x v="8"/>
    <n v="135"/>
    <n v="10.32"/>
    <n v="15"/>
    <n v="2.76"/>
    <n v="120"/>
    <n v="15.73"/>
    <x v="0"/>
  </r>
  <r>
    <x v="0"/>
    <s v="三田市"/>
    <x v="28"/>
    <x v="9"/>
    <n v="91"/>
    <n v="6.96"/>
    <n v="45"/>
    <n v="8.27"/>
    <n v="46"/>
    <n v="6.03"/>
    <x v="0"/>
  </r>
  <r>
    <x v="0"/>
    <s v="三田市"/>
    <x v="28"/>
    <x v="10"/>
    <n v="132"/>
    <n v="10.09"/>
    <n v="89"/>
    <n v="16.36"/>
    <n v="43"/>
    <n v="5.64"/>
    <x v="0"/>
  </r>
  <r>
    <x v="0"/>
    <s v="三田市"/>
    <x v="28"/>
    <x v="11"/>
    <n v="160"/>
    <n v="12.23"/>
    <n v="110"/>
    <n v="20.22"/>
    <n v="50"/>
    <n v="6.55"/>
    <x v="0"/>
  </r>
  <r>
    <x v="0"/>
    <s v="三田市"/>
    <x v="28"/>
    <x v="12"/>
    <n v="58"/>
    <n v="4.43"/>
    <n v="34"/>
    <n v="6.25"/>
    <n v="23"/>
    <n v="3.01"/>
    <x v="0"/>
  </r>
  <r>
    <x v="0"/>
    <s v="三田市"/>
    <x v="28"/>
    <x v="13"/>
    <n v="68"/>
    <n v="5.2"/>
    <n v="34"/>
    <n v="6.25"/>
    <n v="34"/>
    <n v="4.46"/>
    <x v="0"/>
  </r>
  <r>
    <x v="0"/>
    <s v="三田市"/>
    <x v="28"/>
    <x v="14"/>
    <n v="52"/>
    <n v="3.98"/>
    <n v="16"/>
    <n v="2.94"/>
    <n v="36"/>
    <n v="4.72"/>
    <x v="0"/>
  </r>
  <r>
    <x v="0"/>
    <s v="加西市"/>
    <x v="29"/>
    <x v="0"/>
    <n v="0"/>
    <n v="0"/>
    <n v="0"/>
    <n v="0"/>
    <n v="0"/>
    <n v="0"/>
    <x v="0"/>
  </r>
  <r>
    <x v="0"/>
    <s v="加西市"/>
    <x v="29"/>
    <x v="1"/>
    <n v="155"/>
    <n v="15.06"/>
    <n v="73"/>
    <n v="14.07"/>
    <n v="82"/>
    <n v="16.27"/>
    <x v="0"/>
  </r>
  <r>
    <x v="0"/>
    <s v="加西市"/>
    <x v="29"/>
    <x v="2"/>
    <n v="303"/>
    <n v="29.45"/>
    <n v="148"/>
    <n v="28.52"/>
    <n v="155"/>
    <n v="30.75"/>
    <x v="0"/>
  </r>
  <r>
    <x v="0"/>
    <s v="加西市"/>
    <x v="29"/>
    <x v="3"/>
    <n v="2"/>
    <n v="0.19"/>
    <n v="0"/>
    <n v="0"/>
    <n v="2"/>
    <n v="0.4"/>
    <x v="0"/>
  </r>
  <r>
    <x v="0"/>
    <s v="加西市"/>
    <x v="29"/>
    <x v="4"/>
    <n v="9"/>
    <n v="0.87"/>
    <n v="0"/>
    <n v="0"/>
    <n v="9"/>
    <n v="1.79"/>
    <x v="0"/>
  </r>
  <r>
    <x v="0"/>
    <s v="加西市"/>
    <x v="29"/>
    <x v="5"/>
    <n v="12"/>
    <n v="1.17"/>
    <n v="1"/>
    <n v="0.19"/>
    <n v="11"/>
    <n v="2.1800000000000002"/>
    <x v="0"/>
  </r>
  <r>
    <x v="0"/>
    <s v="加西市"/>
    <x v="29"/>
    <x v="6"/>
    <n v="235"/>
    <n v="22.84"/>
    <n v="104"/>
    <n v="20.04"/>
    <n v="131"/>
    <n v="25.99"/>
    <x v="0"/>
  </r>
  <r>
    <x v="0"/>
    <s v="加西市"/>
    <x v="29"/>
    <x v="7"/>
    <n v="11"/>
    <n v="1.07"/>
    <n v="5"/>
    <n v="0.96"/>
    <n v="6"/>
    <n v="1.19"/>
    <x v="0"/>
  </r>
  <r>
    <x v="0"/>
    <s v="加西市"/>
    <x v="29"/>
    <x v="8"/>
    <n v="34"/>
    <n v="3.3"/>
    <n v="2"/>
    <n v="0.39"/>
    <n v="32"/>
    <n v="6.35"/>
    <x v="0"/>
  </r>
  <r>
    <x v="0"/>
    <s v="加西市"/>
    <x v="29"/>
    <x v="9"/>
    <n v="33"/>
    <n v="3.21"/>
    <n v="20"/>
    <n v="3.85"/>
    <n v="13"/>
    <n v="2.58"/>
    <x v="0"/>
  </r>
  <r>
    <x v="0"/>
    <s v="加西市"/>
    <x v="29"/>
    <x v="10"/>
    <n v="56"/>
    <n v="5.44"/>
    <n v="44"/>
    <n v="8.48"/>
    <n v="12"/>
    <n v="2.38"/>
    <x v="0"/>
  </r>
  <r>
    <x v="0"/>
    <s v="加西市"/>
    <x v="29"/>
    <x v="11"/>
    <n v="99"/>
    <n v="9.6199999999999992"/>
    <n v="74"/>
    <n v="14.26"/>
    <n v="25"/>
    <n v="4.96"/>
    <x v="0"/>
  </r>
  <r>
    <x v="0"/>
    <s v="加西市"/>
    <x v="29"/>
    <x v="12"/>
    <n v="28"/>
    <n v="2.72"/>
    <n v="16"/>
    <n v="3.08"/>
    <n v="7"/>
    <n v="1.39"/>
    <x v="0"/>
  </r>
  <r>
    <x v="0"/>
    <s v="加西市"/>
    <x v="29"/>
    <x v="13"/>
    <n v="23"/>
    <n v="2.2400000000000002"/>
    <n v="16"/>
    <n v="3.08"/>
    <n v="7"/>
    <n v="1.39"/>
    <x v="0"/>
  </r>
  <r>
    <x v="0"/>
    <s v="加西市"/>
    <x v="29"/>
    <x v="14"/>
    <n v="29"/>
    <n v="2.82"/>
    <n v="16"/>
    <n v="3.08"/>
    <n v="12"/>
    <n v="2.38"/>
    <x v="0"/>
  </r>
  <r>
    <x v="0"/>
    <s v="丹波篠山市"/>
    <x v="30"/>
    <x v="0"/>
    <n v="0"/>
    <n v="0"/>
    <n v="0"/>
    <n v="0"/>
    <n v="0"/>
    <n v="0"/>
    <x v="0"/>
  </r>
  <r>
    <x v="0"/>
    <s v="丹波篠山市"/>
    <x v="30"/>
    <x v="1"/>
    <n v="189"/>
    <n v="16.84"/>
    <n v="109"/>
    <n v="15.64"/>
    <n v="80"/>
    <n v="19.61"/>
    <x v="0"/>
  </r>
  <r>
    <x v="0"/>
    <s v="丹波篠山市"/>
    <x v="30"/>
    <x v="2"/>
    <n v="144"/>
    <n v="12.83"/>
    <n v="81"/>
    <n v="11.62"/>
    <n v="63"/>
    <n v="15.44"/>
    <x v="0"/>
  </r>
  <r>
    <x v="0"/>
    <s v="丹波篠山市"/>
    <x v="30"/>
    <x v="3"/>
    <n v="2"/>
    <n v="0.18"/>
    <n v="0"/>
    <n v="0"/>
    <n v="2"/>
    <n v="0.49"/>
    <x v="0"/>
  </r>
  <r>
    <x v="0"/>
    <s v="丹波篠山市"/>
    <x v="30"/>
    <x v="4"/>
    <n v="9"/>
    <n v="0.8"/>
    <n v="1"/>
    <n v="0.14000000000000001"/>
    <n v="8"/>
    <n v="1.96"/>
    <x v="0"/>
  </r>
  <r>
    <x v="0"/>
    <s v="丹波篠山市"/>
    <x v="30"/>
    <x v="5"/>
    <n v="10"/>
    <n v="0.89"/>
    <n v="3"/>
    <n v="0.43"/>
    <n v="7"/>
    <n v="1.72"/>
    <x v="0"/>
  </r>
  <r>
    <x v="0"/>
    <s v="丹波篠山市"/>
    <x v="30"/>
    <x v="6"/>
    <n v="316"/>
    <n v="28.16"/>
    <n v="197"/>
    <n v="28.26"/>
    <n v="119"/>
    <n v="29.17"/>
    <x v="0"/>
  </r>
  <r>
    <x v="0"/>
    <s v="丹波篠山市"/>
    <x v="30"/>
    <x v="7"/>
    <n v="2"/>
    <n v="0.18"/>
    <n v="1"/>
    <n v="0.14000000000000001"/>
    <n v="1"/>
    <n v="0.25"/>
    <x v="0"/>
  </r>
  <r>
    <x v="0"/>
    <s v="丹波篠山市"/>
    <x v="30"/>
    <x v="8"/>
    <n v="76"/>
    <n v="6.77"/>
    <n v="40"/>
    <n v="5.74"/>
    <n v="35"/>
    <n v="8.58"/>
    <x v="5"/>
  </r>
  <r>
    <x v="0"/>
    <s v="丹波篠山市"/>
    <x v="30"/>
    <x v="9"/>
    <n v="47"/>
    <n v="4.1900000000000004"/>
    <n v="29"/>
    <n v="4.16"/>
    <n v="18"/>
    <n v="4.41"/>
    <x v="0"/>
  </r>
  <r>
    <x v="0"/>
    <s v="丹波篠山市"/>
    <x v="30"/>
    <x v="10"/>
    <n v="131"/>
    <n v="11.68"/>
    <n v="114"/>
    <n v="16.36"/>
    <n v="17"/>
    <n v="4.17"/>
    <x v="0"/>
  </r>
  <r>
    <x v="0"/>
    <s v="丹波篠山市"/>
    <x v="30"/>
    <x v="11"/>
    <n v="96"/>
    <n v="8.56"/>
    <n v="75"/>
    <n v="10.76"/>
    <n v="20"/>
    <n v="4.9000000000000004"/>
    <x v="0"/>
  </r>
  <r>
    <x v="0"/>
    <s v="丹波篠山市"/>
    <x v="30"/>
    <x v="12"/>
    <n v="31"/>
    <n v="2.76"/>
    <n v="18"/>
    <n v="2.58"/>
    <n v="10"/>
    <n v="2.4500000000000002"/>
    <x v="5"/>
  </r>
  <r>
    <x v="0"/>
    <s v="丹波篠山市"/>
    <x v="30"/>
    <x v="13"/>
    <n v="50"/>
    <n v="4.46"/>
    <n v="21"/>
    <n v="3.01"/>
    <n v="18"/>
    <n v="4.41"/>
    <x v="0"/>
  </r>
  <r>
    <x v="0"/>
    <s v="丹波篠山市"/>
    <x v="30"/>
    <x v="14"/>
    <n v="19"/>
    <n v="1.69"/>
    <n v="8"/>
    <n v="1.1499999999999999"/>
    <n v="10"/>
    <n v="2.4500000000000002"/>
    <x v="5"/>
  </r>
  <r>
    <x v="0"/>
    <s v="養父市"/>
    <x v="31"/>
    <x v="0"/>
    <n v="1"/>
    <n v="0.14000000000000001"/>
    <n v="0"/>
    <n v="0"/>
    <n v="1"/>
    <n v="0.41"/>
    <x v="0"/>
  </r>
  <r>
    <x v="0"/>
    <s v="養父市"/>
    <x v="31"/>
    <x v="1"/>
    <n v="124"/>
    <n v="17.64"/>
    <n v="71"/>
    <n v="15.99"/>
    <n v="53"/>
    <n v="21.99"/>
    <x v="0"/>
  </r>
  <r>
    <x v="0"/>
    <s v="養父市"/>
    <x v="31"/>
    <x v="2"/>
    <n v="91"/>
    <n v="12.94"/>
    <n v="45"/>
    <n v="10.14"/>
    <n v="44"/>
    <n v="18.260000000000002"/>
    <x v="5"/>
  </r>
  <r>
    <x v="0"/>
    <s v="養父市"/>
    <x v="31"/>
    <x v="3"/>
    <n v="1"/>
    <n v="0.14000000000000001"/>
    <n v="0"/>
    <n v="0"/>
    <n v="1"/>
    <n v="0.41"/>
    <x v="0"/>
  </r>
  <r>
    <x v="0"/>
    <s v="養父市"/>
    <x v="31"/>
    <x v="4"/>
    <n v="1"/>
    <n v="0.14000000000000001"/>
    <n v="0"/>
    <n v="0"/>
    <n v="1"/>
    <n v="0.41"/>
    <x v="0"/>
  </r>
  <r>
    <x v="0"/>
    <s v="養父市"/>
    <x v="31"/>
    <x v="5"/>
    <n v="11"/>
    <n v="1.56"/>
    <n v="3"/>
    <n v="0.68"/>
    <n v="7"/>
    <n v="2.9"/>
    <x v="5"/>
  </r>
  <r>
    <x v="0"/>
    <s v="養父市"/>
    <x v="31"/>
    <x v="6"/>
    <n v="177"/>
    <n v="25.18"/>
    <n v="110"/>
    <n v="24.77"/>
    <n v="67"/>
    <n v="27.8"/>
    <x v="0"/>
  </r>
  <r>
    <x v="0"/>
    <s v="養父市"/>
    <x v="31"/>
    <x v="7"/>
    <n v="4"/>
    <n v="0.56999999999999995"/>
    <n v="2"/>
    <n v="0.45"/>
    <n v="2"/>
    <n v="0.83"/>
    <x v="0"/>
  </r>
  <r>
    <x v="0"/>
    <s v="養父市"/>
    <x v="31"/>
    <x v="8"/>
    <n v="40"/>
    <n v="5.69"/>
    <n v="20"/>
    <n v="4.5"/>
    <n v="20"/>
    <n v="8.3000000000000007"/>
    <x v="0"/>
  </r>
  <r>
    <x v="0"/>
    <s v="養父市"/>
    <x v="31"/>
    <x v="9"/>
    <n v="23"/>
    <n v="3.27"/>
    <n v="16"/>
    <n v="3.6"/>
    <n v="6"/>
    <n v="2.4900000000000002"/>
    <x v="0"/>
  </r>
  <r>
    <x v="0"/>
    <s v="養父市"/>
    <x v="31"/>
    <x v="10"/>
    <n v="92"/>
    <n v="13.09"/>
    <n v="75"/>
    <n v="16.89"/>
    <n v="16"/>
    <n v="6.64"/>
    <x v="5"/>
  </r>
  <r>
    <x v="0"/>
    <s v="養父市"/>
    <x v="31"/>
    <x v="11"/>
    <n v="68"/>
    <n v="9.67"/>
    <n v="58"/>
    <n v="13.06"/>
    <n v="9"/>
    <n v="3.73"/>
    <x v="0"/>
  </r>
  <r>
    <x v="0"/>
    <s v="養父市"/>
    <x v="31"/>
    <x v="12"/>
    <n v="32"/>
    <n v="4.55"/>
    <n v="26"/>
    <n v="5.86"/>
    <n v="2"/>
    <n v="0.83"/>
    <x v="5"/>
  </r>
  <r>
    <x v="0"/>
    <s v="養父市"/>
    <x v="31"/>
    <x v="13"/>
    <n v="19"/>
    <n v="2.7"/>
    <n v="9"/>
    <n v="2.0299999999999998"/>
    <n v="6"/>
    <n v="2.4900000000000002"/>
    <x v="0"/>
  </r>
  <r>
    <x v="0"/>
    <s v="養父市"/>
    <x v="31"/>
    <x v="14"/>
    <n v="19"/>
    <n v="2.7"/>
    <n v="9"/>
    <n v="2.0299999999999998"/>
    <n v="6"/>
    <n v="2.4900000000000002"/>
    <x v="14"/>
  </r>
  <r>
    <x v="0"/>
    <s v="丹波市"/>
    <x v="32"/>
    <x v="0"/>
    <n v="0"/>
    <n v="0"/>
    <n v="0"/>
    <n v="0"/>
    <n v="0"/>
    <n v="0"/>
    <x v="0"/>
  </r>
  <r>
    <x v="0"/>
    <s v="丹波市"/>
    <x v="32"/>
    <x v="1"/>
    <n v="419"/>
    <n v="22.48"/>
    <n v="272"/>
    <n v="23.09"/>
    <n v="147"/>
    <n v="22.44"/>
    <x v="0"/>
  </r>
  <r>
    <x v="0"/>
    <s v="丹波市"/>
    <x v="32"/>
    <x v="2"/>
    <n v="278"/>
    <n v="14.91"/>
    <n v="143"/>
    <n v="12.14"/>
    <n v="134"/>
    <n v="20.46"/>
    <x v="0"/>
  </r>
  <r>
    <x v="0"/>
    <s v="丹波市"/>
    <x v="32"/>
    <x v="3"/>
    <n v="4"/>
    <n v="0.21"/>
    <n v="1"/>
    <n v="0.08"/>
    <n v="3"/>
    <n v="0.46"/>
    <x v="0"/>
  </r>
  <r>
    <x v="0"/>
    <s v="丹波市"/>
    <x v="32"/>
    <x v="4"/>
    <n v="11"/>
    <n v="0.59"/>
    <n v="1"/>
    <n v="0.08"/>
    <n v="10"/>
    <n v="1.53"/>
    <x v="0"/>
  </r>
  <r>
    <x v="0"/>
    <s v="丹波市"/>
    <x v="32"/>
    <x v="5"/>
    <n v="22"/>
    <n v="1.18"/>
    <n v="7"/>
    <n v="0.59"/>
    <n v="14"/>
    <n v="2.14"/>
    <x v="5"/>
  </r>
  <r>
    <x v="0"/>
    <s v="丹波市"/>
    <x v="32"/>
    <x v="6"/>
    <n v="429"/>
    <n v="23.02"/>
    <n v="274"/>
    <n v="23.26"/>
    <n v="154"/>
    <n v="23.51"/>
    <x v="5"/>
  </r>
  <r>
    <x v="0"/>
    <s v="丹波市"/>
    <x v="32"/>
    <x v="7"/>
    <n v="5"/>
    <n v="0.27"/>
    <n v="1"/>
    <n v="0.08"/>
    <n v="4"/>
    <n v="0.61"/>
    <x v="0"/>
  </r>
  <r>
    <x v="0"/>
    <s v="丹波市"/>
    <x v="32"/>
    <x v="8"/>
    <n v="76"/>
    <n v="4.08"/>
    <n v="28"/>
    <n v="2.38"/>
    <n v="48"/>
    <n v="7.33"/>
    <x v="0"/>
  </r>
  <r>
    <x v="0"/>
    <s v="丹波市"/>
    <x v="32"/>
    <x v="9"/>
    <n v="79"/>
    <n v="4.24"/>
    <n v="55"/>
    <n v="4.67"/>
    <n v="23"/>
    <n v="3.51"/>
    <x v="0"/>
  </r>
  <r>
    <x v="0"/>
    <s v="丹波市"/>
    <x v="32"/>
    <x v="10"/>
    <n v="134"/>
    <n v="7.19"/>
    <n v="117"/>
    <n v="9.93"/>
    <n v="16"/>
    <n v="2.44"/>
    <x v="0"/>
  </r>
  <r>
    <x v="0"/>
    <s v="丹波市"/>
    <x v="32"/>
    <x v="11"/>
    <n v="203"/>
    <n v="10.89"/>
    <n v="172"/>
    <n v="14.6"/>
    <n v="30"/>
    <n v="4.58"/>
    <x v="0"/>
  </r>
  <r>
    <x v="0"/>
    <s v="丹波市"/>
    <x v="32"/>
    <x v="12"/>
    <n v="76"/>
    <n v="4.08"/>
    <n v="50"/>
    <n v="4.24"/>
    <n v="13"/>
    <n v="1.98"/>
    <x v="0"/>
  </r>
  <r>
    <x v="0"/>
    <s v="丹波市"/>
    <x v="32"/>
    <x v="13"/>
    <n v="77"/>
    <n v="4.13"/>
    <n v="29"/>
    <n v="2.46"/>
    <n v="41"/>
    <n v="6.26"/>
    <x v="0"/>
  </r>
  <r>
    <x v="0"/>
    <s v="丹波市"/>
    <x v="32"/>
    <x v="14"/>
    <n v="51"/>
    <n v="2.74"/>
    <n v="28"/>
    <n v="2.38"/>
    <n v="18"/>
    <n v="2.75"/>
    <x v="1"/>
  </r>
  <r>
    <x v="0"/>
    <s v="南あわじ市"/>
    <x v="33"/>
    <x v="0"/>
    <n v="0"/>
    <n v="0"/>
    <n v="0"/>
    <n v="0"/>
    <n v="0"/>
    <n v="0"/>
    <x v="0"/>
  </r>
  <r>
    <x v="0"/>
    <s v="南あわじ市"/>
    <x v="33"/>
    <x v="1"/>
    <n v="171"/>
    <n v="10.87"/>
    <n v="98"/>
    <n v="9.0299999999999994"/>
    <n v="73"/>
    <n v="15.5"/>
    <x v="0"/>
  </r>
  <r>
    <x v="0"/>
    <s v="南あわじ市"/>
    <x v="33"/>
    <x v="2"/>
    <n v="222"/>
    <n v="14.11"/>
    <n v="132"/>
    <n v="12.17"/>
    <n v="90"/>
    <n v="19.11"/>
    <x v="0"/>
  </r>
  <r>
    <x v="0"/>
    <s v="南あわじ市"/>
    <x v="33"/>
    <x v="3"/>
    <n v="6"/>
    <n v="0.38"/>
    <n v="0"/>
    <n v="0"/>
    <n v="6"/>
    <n v="1.27"/>
    <x v="0"/>
  </r>
  <r>
    <x v="0"/>
    <s v="南あわじ市"/>
    <x v="33"/>
    <x v="4"/>
    <n v="9"/>
    <n v="0.56999999999999995"/>
    <n v="1"/>
    <n v="0.09"/>
    <n v="8"/>
    <n v="1.7"/>
    <x v="0"/>
  </r>
  <r>
    <x v="0"/>
    <s v="南あわじ市"/>
    <x v="33"/>
    <x v="5"/>
    <n v="20"/>
    <n v="1.27"/>
    <n v="3"/>
    <n v="0.28000000000000003"/>
    <n v="17"/>
    <n v="3.61"/>
    <x v="0"/>
  </r>
  <r>
    <x v="0"/>
    <s v="南あわじ市"/>
    <x v="33"/>
    <x v="6"/>
    <n v="452"/>
    <n v="28.73"/>
    <n v="294"/>
    <n v="27.1"/>
    <n v="158"/>
    <n v="33.549999999999997"/>
    <x v="0"/>
  </r>
  <r>
    <x v="0"/>
    <s v="南あわじ市"/>
    <x v="33"/>
    <x v="7"/>
    <n v="5"/>
    <n v="0.32"/>
    <n v="1"/>
    <n v="0.09"/>
    <n v="4"/>
    <n v="0.85"/>
    <x v="0"/>
  </r>
  <r>
    <x v="0"/>
    <s v="南あわじ市"/>
    <x v="33"/>
    <x v="8"/>
    <n v="121"/>
    <n v="7.69"/>
    <n v="76"/>
    <n v="7"/>
    <n v="45"/>
    <n v="9.5500000000000007"/>
    <x v="0"/>
  </r>
  <r>
    <x v="0"/>
    <s v="南あわじ市"/>
    <x v="33"/>
    <x v="9"/>
    <n v="41"/>
    <n v="2.61"/>
    <n v="30"/>
    <n v="2.76"/>
    <n v="11"/>
    <n v="2.34"/>
    <x v="0"/>
  </r>
  <r>
    <x v="0"/>
    <s v="南あわじ市"/>
    <x v="33"/>
    <x v="10"/>
    <n v="188"/>
    <n v="11.95"/>
    <n v="175"/>
    <n v="16.13"/>
    <n v="11"/>
    <n v="2.34"/>
    <x v="5"/>
  </r>
  <r>
    <x v="0"/>
    <s v="南あわじ市"/>
    <x v="33"/>
    <x v="11"/>
    <n v="169"/>
    <n v="10.74"/>
    <n v="149"/>
    <n v="13.73"/>
    <n v="15"/>
    <n v="3.18"/>
    <x v="0"/>
  </r>
  <r>
    <x v="0"/>
    <s v="南あわじ市"/>
    <x v="33"/>
    <x v="12"/>
    <n v="55"/>
    <n v="3.5"/>
    <n v="43"/>
    <n v="3.96"/>
    <n v="5"/>
    <n v="1.06"/>
    <x v="0"/>
  </r>
  <r>
    <x v="0"/>
    <s v="南あわじ市"/>
    <x v="33"/>
    <x v="13"/>
    <n v="58"/>
    <n v="3.69"/>
    <n v="40"/>
    <n v="3.69"/>
    <n v="16"/>
    <n v="3.4"/>
    <x v="0"/>
  </r>
  <r>
    <x v="0"/>
    <s v="南あわじ市"/>
    <x v="33"/>
    <x v="14"/>
    <n v="56"/>
    <n v="3.56"/>
    <n v="43"/>
    <n v="3.96"/>
    <n v="12"/>
    <n v="2.5499999999999998"/>
    <x v="0"/>
  </r>
  <r>
    <x v="0"/>
    <s v="朝来市"/>
    <x v="34"/>
    <x v="0"/>
    <n v="0"/>
    <n v="0"/>
    <n v="0"/>
    <n v="0"/>
    <n v="0"/>
    <n v="0"/>
    <x v="0"/>
  </r>
  <r>
    <x v="0"/>
    <s v="朝来市"/>
    <x v="34"/>
    <x v="1"/>
    <n v="140"/>
    <n v="14.93"/>
    <n v="65"/>
    <n v="11.36"/>
    <n v="75"/>
    <n v="21.93"/>
    <x v="0"/>
  </r>
  <r>
    <x v="0"/>
    <s v="朝来市"/>
    <x v="34"/>
    <x v="2"/>
    <n v="84"/>
    <n v="8.9600000000000009"/>
    <n v="30"/>
    <n v="5.24"/>
    <n v="53"/>
    <n v="15.5"/>
    <x v="5"/>
  </r>
  <r>
    <x v="0"/>
    <s v="朝来市"/>
    <x v="34"/>
    <x v="3"/>
    <n v="1"/>
    <n v="0.11"/>
    <n v="0"/>
    <n v="0"/>
    <n v="1"/>
    <n v="0.28999999999999998"/>
    <x v="0"/>
  </r>
  <r>
    <x v="0"/>
    <s v="朝来市"/>
    <x v="34"/>
    <x v="4"/>
    <n v="7"/>
    <n v="0.75"/>
    <n v="0"/>
    <n v="0"/>
    <n v="7"/>
    <n v="2.0499999999999998"/>
    <x v="0"/>
  </r>
  <r>
    <x v="0"/>
    <s v="朝来市"/>
    <x v="34"/>
    <x v="5"/>
    <n v="12"/>
    <n v="1.28"/>
    <n v="3"/>
    <n v="0.52"/>
    <n v="8"/>
    <n v="2.34"/>
    <x v="5"/>
  </r>
  <r>
    <x v="0"/>
    <s v="朝来市"/>
    <x v="34"/>
    <x v="6"/>
    <n v="240"/>
    <n v="25.59"/>
    <n v="142"/>
    <n v="24.83"/>
    <n v="97"/>
    <n v="28.36"/>
    <x v="5"/>
  </r>
  <r>
    <x v="0"/>
    <s v="朝来市"/>
    <x v="34"/>
    <x v="7"/>
    <n v="4"/>
    <n v="0.43"/>
    <n v="2"/>
    <n v="0.35"/>
    <n v="2"/>
    <n v="0.57999999999999996"/>
    <x v="0"/>
  </r>
  <r>
    <x v="0"/>
    <s v="朝来市"/>
    <x v="34"/>
    <x v="8"/>
    <n v="58"/>
    <n v="6.18"/>
    <n v="39"/>
    <n v="6.82"/>
    <n v="18"/>
    <n v="5.26"/>
    <x v="5"/>
  </r>
  <r>
    <x v="0"/>
    <s v="朝来市"/>
    <x v="34"/>
    <x v="9"/>
    <n v="35"/>
    <n v="3.73"/>
    <n v="19"/>
    <n v="3.32"/>
    <n v="15"/>
    <n v="4.3899999999999997"/>
    <x v="0"/>
  </r>
  <r>
    <x v="0"/>
    <s v="朝来市"/>
    <x v="34"/>
    <x v="10"/>
    <n v="112"/>
    <n v="11.94"/>
    <n v="97"/>
    <n v="16.96"/>
    <n v="15"/>
    <n v="4.3899999999999997"/>
    <x v="0"/>
  </r>
  <r>
    <x v="0"/>
    <s v="朝来市"/>
    <x v="34"/>
    <x v="11"/>
    <n v="128"/>
    <n v="13.65"/>
    <n v="112"/>
    <n v="19.579999999999998"/>
    <n v="14"/>
    <n v="4.09"/>
    <x v="5"/>
  </r>
  <r>
    <x v="0"/>
    <s v="朝来市"/>
    <x v="34"/>
    <x v="12"/>
    <n v="42"/>
    <n v="4.4800000000000004"/>
    <n v="31"/>
    <n v="5.42"/>
    <n v="5"/>
    <n v="1.46"/>
    <x v="0"/>
  </r>
  <r>
    <x v="0"/>
    <s v="朝来市"/>
    <x v="34"/>
    <x v="13"/>
    <n v="40"/>
    <n v="4.26"/>
    <n v="18"/>
    <n v="3.15"/>
    <n v="14"/>
    <n v="4.09"/>
    <x v="5"/>
  </r>
  <r>
    <x v="0"/>
    <s v="朝来市"/>
    <x v="34"/>
    <x v="14"/>
    <n v="35"/>
    <n v="3.73"/>
    <n v="14"/>
    <n v="2.4500000000000002"/>
    <n v="18"/>
    <n v="5.26"/>
    <x v="0"/>
  </r>
  <r>
    <x v="0"/>
    <s v="淡路市"/>
    <x v="35"/>
    <x v="0"/>
    <n v="0"/>
    <n v="0"/>
    <n v="0"/>
    <n v="0"/>
    <n v="0"/>
    <n v="0"/>
    <x v="0"/>
  </r>
  <r>
    <x v="0"/>
    <s v="淡路市"/>
    <x v="35"/>
    <x v="1"/>
    <n v="156"/>
    <n v="12.96"/>
    <n v="80"/>
    <n v="10.029999999999999"/>
    <n v="76"/>
    <n v="19.489999999999998"/>
    <x v="0"/>
  </r>
  <r>
    <x v="0"/>
    <s v="淡路市"/>
    <x v="35"/>
    <x v="2"/>
    <n v="160"/>
    <n v="13.29"/>
    <n v="94"/>
    <n v="11.78"/>
    <n v="66"/>
    <n v="16.920000000000002"/>
    <x v="0"/>
  </r>
  <r>
    <x v="0"/>
    <s v="淡路市"/>
    <x v="35"/>
    <x v="3"/>
    <n v="2"/>
    <n v="0.17"/>
    <n v="0"/>
    <n v="0"/>
    <n v="2"/>
    <n v="0.51"/>
    <x v="0"/>
  </r>
  <r>
    <x v="0"/>
    <s v="淡路市"/>
    <x v="35"/>
    <x v="4"/>
    <n v="5"/>
    <n v="0.42"/>
    <n v="1"/>
    <n v="0.13"/>
    <n v="4"/>
    <n v="1.03"/>
    <x v="0"/>
  </r>
  <r>
    <x v="0"/>
    <s v="淡路市"/>
    <x v="35"/>
    <x v="5"/>
    <n v="11"/>
    <n v="0.91"/>
    <n v="2"/>
    <n v="0.25"/>
    <n v="9"/>
    <n v="2.31"/>
    <x v="0"/>
  </r>
  <r>
    <x v="0"/>
    <s v="淡路市"/>
    <x v="35"/>
    <x v="6"/>
    <n v="358"/>
    <n v="29.73"/>
    <n v="248"/>
    <n v="31.08"/>
    <n v="110"/>
    <n v="28.21"/>
    <x v="0"/>
  </r>
  <r>
    <x v="0"/>
    <s v="淡路市"/>
    <x v="35"/>
    <x v="7"/>
    <n v="3"/>
    <n v="0.25"/>
    <n v="2"/>
    <n v="0.25"/>
    <n v="1"/>
    <n v="0.26"/>
    <x v="0"/>
  </r>
  <r>
    <x v="0"/>
    <s v="淡路市"/>
    <x v="35"/>
    <x v="8"/>
    <n v="49"/>
    <n v="4.07"/>
    <n v="18"/>
    <n v="2.2599999999999998"/>
    <n v="31"/>
    <n v="7.95"/>
    <x v="0"/>
  </r>
  <r>
    <x v="0"/>
    <s v="淡路市"/>
    <x v="35"/>
    <x v="9"/>
    <n v="37"/>
    <n v="3.07"/>
    <n v="20"/>
    <n v="2.5099999999999998"/>
    <n v="17"/>
    <n v="4.3600000000000003"/>
    <x v="0"/>
  </r>
  <r>
    <x v="0"/>
    <s v="淡路市"/>
    <x v="35"/>
    <x v="10"/>
    <n v="167"/>
    <n v="13.87"/>
    <n v="149"/>
    <n v="18.670000000000002"/>
    <n v="18"/>
    <n v="4.62"/>
    <x v="0"/>
  </r>
  <r>
    <x v="0"/>
    <s v="淡路市"/>
    <x v="35"/>
    <x v="11"/>
    <n v="128"/>
    <n v="10.63"/>
    <n v="110"/>
    <n v="13.78"/>
    <n v="17"/>
    <n v="4.3600000000000003"/>
    <x v="0"/>
  </r>
  <r>
    <x v="0"/>
    <s v="淡路市"/>
    <x v="35"/>
    <x v="12"/>
    <n v="42"/>
    <n v="3.49"/>
    <n v="24"/>
    <n v="3.01"/>
    <n v="3"/>
    <n v="0.77"/>
    <x v="0"/>
  </r>
  <r>
    <x v="0"/>
    <s v="淡路市"/>
    <x v="35"/>
    <x v="13"/>
    <n v="50"/>
    <n v="4.1500000000000004"/>
    <n v="33"/>
    <n v="4.1399999999999997"/>
    <n v="17"/>
    <n v="4.3600000000000003"/>
    <x v="0"/>
  </r>
  <r>
    <x v="0"/>
    <s v="淡路市"/>
    <x v="35"/>
    <x v="14"/>
    <n v="36"/>
    <n v="2.99"/>
    <n v="17"/>
    <n v="2.13"/>
    <n v="19"/>
    <n v="4.87"/>
    <x v="0"/>
  </r>
  <r>
    <x v="0"/>
    <s v="宍粟市"/>
    <x v="36"/>
    <x v="0"/>
    <n v="0"/>
    <n v="0"/>
    <n v="0"/>
    <n v="0"/>
    <n v="0"/>
    <n v="0"/>
    <x v="0"/>
  </r>
  <r>
    <x v="0"/>
    <s v="宍粟市"/>
    <x v="36"/>
    <x v="1"/>
    <n v="304"/>
    <n v="21.61"/>
    <n v="173"/>
    <n v="17.78"/>
    <n v="131"/>
    <n v="30.61"/>
    <x v="0"/>
  </r>
  <r>
    <x v="0"/>
    <s v="宍粟市"/>
    <x v="36"/>
    <x v="2"/>
    <n v="362"/>
    <n v="25.73"/>
    <n v="254"/>
    <n v="26.1"/>
    <n v="107"/>
    <n v="25"/>
    <x v="5"/>
  </r>
  <r>
    <x v="0"/>
    <s v="宍粟市"/>
    <x v="36"/>
    <x v="3"/>
    <n v="1"/>
    <n v="7.0000000000000007E-2"/>
    <n v="0"/>
    <n v="0"/>
    <n v="1"/>
    <n v="0.23"/>
    <x v="0"/>
  </r>
  <r>
    <x v="0"/>
    <s v="宍粟市"/>
    <x v="36"/>
    <x v="4"/>
    <n v="4"/>
    <n v="0.28000000000000003"/>
    <n v="1"/>
    <n v="0.1"/>
    <n v="3"/>
    <n v="0.7"/>
    <x v="0"/>
  </r>
  <r>
    <x v="0"/>
    <s v="宍粟市"/>
    <x v="36"/>
    <x v="5"/>
    <n v="10"/>
    <n v="0.71"/>
    <n v="5"/>
    <n v="0.51"/>
    <n v="5"/>
    <n v="1.17"/>
    <x v="0"/>
  </r>
  <r>
    <x v="0"/>
    <s v="宍粟市"/>
    <x v="36"/>
    <x v="6"/>
    <n v="275"/>
    <n v="19.55"/>
    <n v="179"/>
    <n v="18.399999999999999"/>
    <n v="96"/>
    <n v="22.43"/>
    <x v="0"/>
  </r>
  <r>
    <x v="0"/>
    <s v="宍粟市"/>
    <x v="36"/>
    <x v="7"/>
    <n v="7"/>
    <n v="0.5"/>
    <n v="1"/>
    <n v="0.1"/>
    <n v="6"/>
    <n v="1.4"/>
    <x v="0"/>
  </r>
  <r>
    <x v="0"/>
    <s v="宍粟市"/>
    <x v="36"/>
    <x v="8"/>
    <n v="27"/>
    <n v="1.92"/>
    <n v="15"/>
    <n v="1.54"/>
    <n v="12"/>
    <n v="2.8"/>
    <x v="0"/>
  </r>
  <r>
    <x v="0"/>
    <s v="宍粟市"/>
    <x v="36"/>
    <x v="9"/>
    <n v="45"/>
    <n v="3.2"/>
    <n v="29"/>
    <n v="2.98"/>
    <n v="16"/>
    <n v="3.74"/>
    <x v="0"/>
  </r>
  <r>
    <x v="0"/>
    <s v="宍粟市"/>
    <x v="36"/>
    <x v="10"/>
    <n v="97"/>
    <n v="6.89"/>
    <n v="87"/>
    <n v="8.94"/>
    <n v="10"/>
    <n v="2.34"/>
    <x v="0"/>
  </r>
  <r>
    <x v="0"/>
    <s v="宍粟市"/>
    <x v="36"/>
    <x v="11"/>
    <n v="140"/>
    <n v="9.9499999999999993"/>
    <n v="127"/>
    <n v="13.05"/>
    <n v="12"/>
    <n v="2.8"/>
    <x v="0"/>
  </r>
  <r>
    <x v="0"/>
    <s v="宍粟市"/>
    <x v="36"/>
    <x v="12"/>
    <n v="53"/>
    <n v="3.77"/>
    <n v="47"/>
    <n v="4.83"/>
    <n v="3"/>
    <n v="0.7"/>
    <x v="0"/>
  </r>
  <r>
    <x v="0"/>
    <s v="宍粟市"/>
    <x v="36"/>
    <x v="13"/>
    <n v="42"/>
    <n v="2.99"/>
    <n v="32"/>
    <n v="3.29"/>
    <n v="9"/>
    <n v="2.1"/>
    <x v="0"/>
  </r>
  <r>
    <x v="0"/>
    <s v="宍粟市"/>
    <x v="36"/>
    <x v="14"/>
    <n v="40"/>
    <n v="2.84"/>
    <n v="23"/>
    <n v="2.36"/>
    <n v="17"/>
    <n v="3.97"/>
    <x v="0"/>
  </r>
  <r>
    <x v="0"/>
    <s v="加東市"/>
    <x v="37"/>
    <x v="0"/>
    <n v="0"/>
    <n v="0"/>
    <n v="0"/>
    <n v="0"/>
    <n v="0"/>
    <n v="0"/>
    <x v="0"/>
  </r>
  <r>
    <x v="0"/>
    <s v="加東市"/>
    <x v="37"/>
    <x v="1"/>
    <n v="139"/>
    <n v="15.29"/>
    <n v="71"/>
    <n v="14.85"/>
    <n v="68"/>
    <n v="16.43"/>
    <x v="0"/>
  </r>
  <r>
    <x v="0"/>
    <s v="加東市"/>
    <x v="37"/>
    <x v="2"/>
    <n v="149"/>
    <n v="16.39"/>
    <n v="56"/>
    <n v="11.72"/>
    <n v="93"/>
    <n v="22.46"/>
    <x v="0"/>
  </r>
  <r>
    <x v="0"/>
    <s v="加東市"/>
    <x v="37"/>
    <x v="3"/>
    <n v="3"/>
    <n v="0.33"/>
    <n v="0"/>
    <n v="0"/>
    <n v="3"/>
    <n v="0.72"/>
    <x v="0"/>
  </r>
  <r>
    <x v="0"/>
    <s v="加東市"/>
    <x v="37"/>
    <x v="4"/>
    <n v="11"/>
    <n v="1.21"/>
    <n v="1"/>
    <n v="0.21"/>
    <n v="9"/>
    <n v="2.17"/>
    <x v="0"/>
  </r>
  <r>
    <x v="0"/>
    <s v="加東市"/>
    <x v="37"/>
    <x v="5"/>
    <n v="9"/>
    <n v="0.99"/>
    <n v="2"/>
    <n v="0.42"/>
    <n v="7"/>
    <n v="1.69"/>
    <x v="0"/>
  </r>
  <r>
    <x v="0"/>
    <s v="加東市"/>
    <x v="37"/>
    <x v="6"/>
    <n v="214"/>
    <n v="23.54"/>
    <n v="105"/>
    <n v="21.97"/>
    <n v="109"/>
    <n v="26.33"/>
    <x v="0"/>
  </r>
  <r>
    <x v="0"/>
    <s v="加東市"/>
    <x v="37"/>
    <x v="7"/>
    <n v="5"/>
    <n v="0.55000000000000004"/>
    <n v="0"/>
    <n v="0"/>
    <n v="5"/>
    <n v="1.21"/>
    <x v="0"/>
  </r>
  <r>
    <x v="0"/>
    <s v="加東市"/>
    <x v="37"/>
    <x v="8"/>
    <n v="56"/>
    <n v="6.16"/>
    <n v="19"/>
    <n v="3.97"/>
    <n v="37"/>
    <n v="8.94"/>
    <x v="0"/>
  </r>
  <r>
    <x v="0"/>
    <s v="加東市"/>
    <x v="37"/>
    <x v="9"/>
    <n v="42"/>
    <n v="4.62"/>
    <n v="24"/>
    <n v="5.0199999999999996"/>
    <n v="16"/>
    <n v="3.86"/>
    <x v="0"/>
  </r>
  <r>
    <x v="0"/>
    <s v="加東市"/>
    <x v="37"/>
    <x v="10"/>
    <n v="104"/>
    <n v="11.44"/>
    <n v="84"/>
    <n v="17.57"/>
    <n v="19"/>
    <n v="4.59"/>
    <x v="0"/>
  </r>
  <r>
    <x v="0"/>
    <s v="加東市"/>
    <x v="37"/>
    <x v="11"/>
    <n v="91"/>
    <n v="10.01"/>
    <n v="68"/>
    <n v="14.23"/>
    <n v="22"/>
    <n v="5.31"/>
    <x v="0"/>
  </r>
  <r>
    <x v="0"/>
    <s v="加東市"/>
    <x v="37"/>
    <x v="12"/>
    <n v="25"/>
    <n v="2.75"/>
    <n v="12"/>
    <n v="2.5099999999999998"/>
    <n v="5"/>
    <n v="1.21"/>
    <x v="1"/>
  </r>
  <r>
    <x v="0"/>
    <s v="加東市"/>
    <x v="37"/>
    <x v="13"/>
    <n v="33"/>
    <n v="3.63"/>
    <n v="20"/>
    <n v="4.18"/>
    <n v="11"/>
    <n v="2.66"/>
    <x v="0"/>
  </r>
  <r>
    <x v="0"/>
    <s v="加東市"/>
    <x v="37"/>
    <x v="14"/>
    <n v="28"/>
    <n v="3.08"/>
    <n v="16"/>
    <n v="3.35"/>
    <n v="10"/>
    <n v="2.42"/>
    <x v="5"/>
  </r>
  <r>
    <x v="0"/>
    <s v="たつの市"/>
    <x v="38"/>
    <x v="0"/>
    <n v="0"/>
    <n v="0"/>
    <n v="0"/>
    <n v="0"/>
    <n v="0"/>
    <n v="0"/>
    <x v="0"/>
  </r>
  <r>
    <x v="0"/>
    <s v="たつの市"/>
    <x v="38"/>
    <x v="1"/>
    <n v="284"/>
    <n v="14.83"/>
    <n v="121"/>
    <n v="10.93"/>
    <n v="163"/>
    <n v="21.7"/>
    <x v="0"/>
  </r>
  <r>
    <x v="0"/>
    <s v="たつの市"/>
    <x v="38"/>
    <x v="2"/>
    <n v="369"/>
    <n v="19.27"/>
    <n v="243"/>
    <n v="21.95"/>
    <n v="126"/>
    <n v="16.78"/>
    <x v="0"/>
  </r>
  <r>
    <x v="0"/>
    <s v="たつの市"/>
    <x v="38"/>
    <x v="3"/>
    <n v="6"/>
    <n v="0.31"/>
    <n v="0"/>
    <n v="0"/>
    <n v="6"/>
    <n v="0.8"/>
    <x v="0"/>
  </r>
  <r>
    <x v="0"/>
    <s v="たつの市"/>
    <x v="38"/>
    <x v="4"/>
    <n v="11"/>
    <n v="0.56999999999999995"/>
    <n v="0"/>
    <n v="0"/>
    <n v="11"/>
    <n v="1.46"/>
    <x v="0"/>
  </r>
  <r>
    <x v="0"/>
    <s v="たつの市"/>
    <x v="38"/>
    <x v="5"/>
    <n v="28"/>
    <n v="1.46"/>
    <n v="4"/>
    <n v="0.36"/>
    <n v="23"/>
    <n v="3.06"/>
    <x v="0"/>
  </r>
  <r>
    <x v="0"/>
    <s v="たつの市"/>
    <x v="38"/>
    <x v="6"/>
    <n v="450"/>
    <n v="23.5"/>
    <n v="264"/>
    <n v="23.85"/>
    <n v="184"/>
    <n v="24.5"/>
    <x v="1"/>
  </r>
  <r>
    <x v="0"/>
    <s v="たつの市"/>
    <x v="38"/>
    <x v="7"/>
    <n v="13"/>
    <n v="0.68"/>
    <n v="4"/>
    <n v="0.36"/>
    <n v="9"/>
    <n v="1.2"/>
    <x v="0"/>
  </r>
  <r>
    <x v="0"/>
    <s v="たつの市"/>
    <x v="38"/>
    <x v="8"/>
    <n v="104"/>
    <n v="5.43"/>
    <n v="41"/>
    <n v="3.7"/>
    <n v="62"/>
    <n v="8.26"/>
    <x v="0"/>
  </r>
  <r>
    <x v="0"/>
    <s v="たつの市"/>
    <x v="38"/>
    <x v="9"/>
    <n v="65"/>
    <n v="3.39"/>
    <n v="37"/>
    <n v="3.34"/>
    <n v="27"/>
    <n v="3.6"/>
    <x v="0"/>
  </r>
  <r>
    <x v="0"/>
    <s v="たつの市"/>
    <x v="38"/>
    <x v="10"/>
    <n v="139"/>
    <n v="7.26"/>
    <n v="115"/>
    <n v="10.39"/>
    <n v="23"/>
    <n v="3.06"/>
    <x v="5"/>
  </r>
  <r>
    <x v="0"/>
    <s v="たつの市"/>
    <x v="38"/>
    <x v="11"/>
    <n v="200"/>
    <n v="10.44"/>
    <n v="160"/>
    <n v="14.45"/>
    <n v="36"/>
    <n v="4.79"/>
    <x v="0"/>
  </r>
  <r>
    <x v="0"/>
    <s v="たつの市"/>
    <x v="38"/>
    <x v="12"/>
    <n v="92"/>
    <n v="4.8"/>
    <n v="67"/>
    <n v="6.05"/>
    <n v="16"/>
    <n v="2.13"/>
    <x v="5"/>
  </r>
  <r>
    <x v="0"/>
    <s v="たつの市"/>
    <x v="38"/>
    <x v="13"/>
    <n v="88"/>
    <n v="4.5999999999999996"/>
    <n v="31"/>
    <n v="2.8"/>
    <n v="30"/>
    <n v="3.99"/>
    <x v="0"/>
  </r>
  <r>
    <x v="0"/>
    <s v="たつの市"/>
    <x v="38"/>
    <x v="14"/>
    <n v="66"/>
    <n v="3.45"/>
    <n v="20"/>
    <n v="1.81"/>
    <n v="35"/>
    <n v="4.66"/>
    <x v="10"/>
  </r>
  <r>
    <x v="0"/>
    <s v="川辺郡猪名川町"/>
    <x v="39"/>
    <x v="0"/>
    <n v="0"/>
    <n v="0"/>
    <n v="0"/>
    <n v="0"/>
    <n v="0"/>
    <n v="0"/>
    <x v="0"/>
  </r>
  <r>
    <x v="0"/>
    <s v="川辺郡猪名川町"/>
    <x v="39"/>
    <x v="1"/>
    <n v="74"/>
    <n v="23.64"/>
    <n v="25"/>
    <n v="20.83"/>
    <n v="49"/>
    <n v="25.93"/>
    <x v="0"/>
  </r>
  <r>
    <x v="0"/>
    <s v="川辺郡猪名川町"/>
    <x v="39"/>
    <x v="2"/>
    <n v="24"/>
    <n v="7.67"/>
    <n v="4"/>
    <n v="3.33"/>
    <n v="20"/>
    <n v="10.58"/>
    <x v="0"/>
  </r>
  <r>
    <x v="0"/>
    <s v="川辺郡猪名川町"/>
    <x v="39"/>
    <x v="3"/>
    <n v="0"/>
    <n v="0"/>
    <n v="0"/>
    <n v="0"/>
    <n v="0"/>
    <n v="0"/>
    <x v="0"/>
  </r>
  <r>
    <x v="0"/>
    <s v="川辺郡猪名川町"/>
    <x v="39"/>
    <x v="4"/>
    <n v="3"/>
    <n v="0.96"/>
    <n v="0"/>
    <n v="0"/>
    <n v="3"/>
    <n v="1.59"/>
    <x v="0"/>
  </r>
  <r>
    <x v="0"/>
    <s v="川辺郡猪名川町"/>
    <x v="39"/>
    <x v="5"/>
    <n v="3"/>
    <n v="0.96"/>
    <n v="1"/>
    <n v="0.83"/>
    <n v="2"/>
    <n v="1.06"/>
    <x v="0"/>
  </r>
  <r>
    <x v="0"/>
    <s v="川辺郡猪名川町"/>
    <x v="39"/>
    <x v="6"/>
    <n v="54"/>
    <n v="17.25"/>
    <n v="23"/>
    <n v="19.170000000000002"/>
    <n v="31"/>
    <n v="16.399999999999999"/>
    <x v="0"/>
  </r>
  <r>
    <x v="0"/>
    <s v="川辺郡猪名川町"/>
    <x v="39"/>
    <x v="7"/>
    <n v="1"/>
    <n v="0.32"/>
    <n v="0"/>
    <n v="0"/>
    <n v="1"/>
    <n v="0.53"/>
    <x v="0"/>
  </r>
  <r>
    <x v="0"/>
    <s v="川辺郡猪名川町"/>
    <x v="39"/>
    <x v="8"/>
    <n v="12"/>
    <n v="3.83"/>
    <n v="1"/>
    <n v="0.83"/>
    <n v="11"/>
    <n v="5.82"/>
    <x v="0"/>
  </r>
  <r>
    <x v="0"/>
    <s v="川辺郡猪名川町"/>
    <x v="39"/>
    <x v="9"/>
    <n v="21"/>
    <n v="6.71"/>
    <n v="10"/>
    <n v="8.33"/>
    <n v="11"/>
    <n v="5.82"/>
    <x v="0"/>
  </r>
  <r>
    <x v="0"/>
    <s v="川辺郡猪名川町"/>
    <x v="39"/>
    <x v="10"/>
    <n v="34"/>
    <n v="10.86"/>
    <n v="20"/>
    <n v="16.670000000000002"/>
    <n v="14"/>
    <n v="7.41"/>
    <x v="0"/>
  </r>
  <r>
    <x v="0"/>
    <s v="川辺郡猪名川町"/>
    <x v="39"/>
    <x v="11"/>
    <n v="37"/>
    <n v="11.82"/>
    <n v="20"/>
    <n v="16.670000000000002"/>
    <n v="16"/>
    <n v="8.4700000000000006"/>
    <x v="0"/>
  </r>
  <r>
    <x v="0"/>
    <s v="川辺郡猪名川町"/>
    <x v="39"/>
    <x v="12"/>
    <n v="17"/>
    <n v="5.43"/>
    <n v="5"/>
    <n v="4.17"/>
    <n v="9"/>
    <n v="4.76"/>
    <x v="0"/>
  </r>
  <r>
    <x v="0"/>
    <s v="川辺郡猪名川町"/>
    <x v="39"/>
    <x v="13"/>
    <n v="13"/>
    <n v="4.1500000000000004"/>
    <n v="6"/>
    <n v="5"/>
    <n v="7"/>
    <n v="3.7"/>
    <x v="0"/>
  </r>
  <r>
    <x v="0"/>
    <s v="川辺郡猪名川町"/>
    <x v="39"/>
    <x v="14"/>
    <n v="20"/>
    <n v="6.39"/>
    <n v="5"/>
    <n v="4.17"/>
    <n v="15"/>
    <n v="7.94"/>
    <x v="0"/>
  </r>
  <r>
    <x v="0"/>
    <s v="多可郡多可町"/>
    <x v="40"/>
    <x v="0"/>
    <n v="0"/>
    <n v="0"/>
    <n v="0"/>
    <n v="0"/>
    <n v="0"/>
    <n v="0"/>
    <x v="0"/>
  </r>
  <r>
    <x v="0"/>
    <s v="多可郡多可町"/>
    <x v="40"/>
    <x v="1"/>
    <n v="141"/>
    <n v="20.03"/>
    <n v="100"/>
    <n v="20.83"/>
    <n v="41"/>
    <n v="18.47"/>
    <x v="0"/>
  </r>
  <r>
    <x v="0"/>
    <s v="多可郡多可町"/>
    <x v="40"/>
    <x v="2"/>
    <n v="236"/>
    <n v="33.520000000000003"/>
    <n v="141"/>
    <n v="29.38"/>
    <n v="95"/>
    <n v="42.79"/>
    <x v="0"/>
  </r>
  <r>
    <x v="0"/>
    <s v="多可郡多可町"/>
    <x v="40"/>
    <x v="3"/>
    <n v="3"/>
    <n v="0.43"/>
    <n v="0"/>
    <n v="0"/>
    <n v="3"/>
    <n v="1.35"/>
    <x v="0"/>
  </r>
  <r>
    <x v="0"/>
    <s v="多可郡多可町"/>
    <x v="40"/>
    <x v="4"/>
    <n v="0"/>
    <n v="0"/>
    <n v="0"/>
    <n v="0"/>
    <n v="0"/>
    <n v="0"/>
    <x v="0"/>
  </r>
  <r>
    <x v="0"/>
    <s v="多可郡多可町"/>
    <x v="40"/>
    <x v="5"/>
    <n v="7"/>
    <n v="0.99"/>
    <n v="3"/>
    <n v="0.63"/>
    <n v="4"/>
    <n v="1.8"/>
    <x v="0"/>
  </r>
  <r>
    <x v="0"/>
    <s v="多可郡多可町"/>
    <x v="40"/>
    <x v="6"/>
    <n v="131"/>
    <n v="18.61"/>
    <n v="91"/>
    <n v="18.96"/>
    <n v="40"/>
    <n v="18.02"/>
    <x v="0"/>
  </r>
  <r>
    <x v="0"/>
    <s v="多可郡多可町"/>
    <x v="40"/>
    <x v="7"/>
    <n v="3"/>
    <n v="0.43"/>
    <n v="1"/>
    <n v="0.21"/>
    <n v="2"/>
    <n v="0.9"/>
    <x v="0"/>
  </r>
  <r>
    <x v="0"/>
    <s v="多可郡多可町"/>
    <x v="40"/>
    <x v="8"/>
    <n v="11"/>
    <n v="1.56"/>
    <n v="3"/>
    <n v="0.63"/>
    <n v="8"/>
    <n v="3.6"/>
    <x v="0"/>
  </r>
  <r>
    <x v="0"/>
    <s v="多可郡多可町"/>
    <x v="40"/>
    <x v="9"/>
    <n v="22"/>
    <n v="3.13"/>
    <n v="18"/>
    <n v="3.75"/>
    <n v="4"/>
    <n v="1.8"/>
    <x v="0"/>
  </r>
  <r>
    <x v="0"/>
    <s v="多可郡多可町"/>
    <x v="40"/>
    <x v="10"/>
    <n v="39"/>
    <n v="5.54"/>
    <n v="37"/>
    <n v="7.71"/>
    <n v="1"/>
    <n v="0.45"/>
    <x v="0"/>
  </r>
  <r>
    <x v="0"/>
    <s v="多可郡多可町"/>
    <x v="40"/>
    <x v="11"/>
    <n v="57"/>
    <n v="8.1"/>
    <n v="53"/>
    <n v="11.04"/>
    <n v="4"/>
    <n v="1.8"/>
    <x v="0"/>
  </r>
  <r>
    <x v="0"/>
    <s v="多可郡多可町"/>
    <x v="40"/>
    <x v="12"/>
    <n v="11"/>
    <n v="1.56"/>
    <n v="9"/>
    <n v="1.88"/>
    <n v="2"/>
    <n v="0.9"/>
    <x v="0"/>
  </r>
  <r>
    <x v="0"/>
    <s v="多可郡多可町"/>
    <x v="40"/>
    <x v="13"/>
    <n v="19"/>
    <n v="2.7"/>
    <n v="9"/>
    <n v="1.88"/>
    <n v="10"/>
    <n v="4.5"/>
    <x v="0"/>
  </r>
  <r>
    <x v="0"/>
    <s v="多可郡多可町"/>
    <x v="40"/>
    <x v="14"/>
    <n v="24"/>
    <n v="3.41"/>
    <n v="15"/>
    <n v="3.13"/>
    <n v="8"/>
    <n v="3.6"/>
    <x v="0"/>
  </r>
  <r>
    <x v="0"/>
    <s v="加古郡稲美町"/>
    <x v="41"/>
    <x v="0"/>
    <n v="0"/>
    <n v="0"/>
    <n v="0"/>
    <n v="0"/>
    <n v="0"/>
    <n v="0"/>
    <x v="0"/>
  </r>
  <r>
    <x v="0"/>
    <s v="加古郡稲美町"/>
    <x v="41"/>
    <x v="1"/>
    <n v="120"/>
    <n v="18.989999999999998"/>
    <n v="32"/>
    <n v="11.47"/>
    <n v="88"/>
    <n v="25.58"/>
    <x v="0"/>
  </r>
  <r>
    <x v="0"/>
    <s v="加古郡稲美町"/>
    <x v="41"/>
    <x v="2"/>
    <n v="143"/>
    <n v="22.63"/>
    <n v="39"/>
    <n v="13.98"/>
    <n v="104"/>
    <n v="30.23"/>
    <x v="0"/>
  </r>
  <r>
    <x v="0"/>
    <s v="加古郡稲美町"/>
    <x v="41"/>
    <x v="3"/>
    <n v="4"/>
    <n v="0.63"/>
    <n v="0"/>
    <n v="0"/>
    <n v="3"/>
    <n v="0.87"/>
    <x v="0"/>
  </r>
  <r>
    <x v="0"/>
    <s v="加古郡稲美町"/>
    <x v="41"/>
    <x v="4"/>
    <n v="1"/>
    <n v="0.16"/>
    <n v="0"/>
    <n v="0"/>
    <n v="1"/>
    <n v="0.28999999999999998"/>
    <x v="0"/>
  </r>
  <r>
    <x v="0"/>
    <s v="加古郡稲美町"/>
    <x v="41"/>
    <x v="5"/>
    <n v="13"/>
    <n v="2.06"/>
    <n v="0"/>
    <n v="0"/>
    <n v="13"/>
    <n v="3.78"/>
    <x v="0"/>
  </r>
  <r>
    <x v="0"/>
    <s v="加古郡稲美町"/>
    <x v="41"/>
    <x v="6"/>
    <n v="104"/>
    <n v="16.46"/>
    <n v="55"/>
    <n v="19.71"/>
    <n v="49"/>
    <n v="14.24"/>
    <x v="0"/>
  </r>
  <r>
    <x v="0"/>
    <s v="加古郡稲美町"/>
    <x v="41"/>
    <x v="7"/>
    <n v="2"/>
    <n v="0.32"/>
    <n v="2"/>
    <n v="0.72"/>
    <n v="0"/>
    <n v="0"/>
    <x v="0"/>
  </r>
  <r>
    <x v="0"/>
    <s v="加古郡稲美町"/>
    <x v="41"/>
    <x v="8"/>
    <n v="39"/>
    <n v="6.17"/>
    <n v="11"/>
    <n v="3.94"/>
    <n v="28"/>
    <n v="8.14"/>
    <x v="0"/>
  </r>
  <r>
    <x v="0"/>
    <s v="加古郡稲美町"/>
    <x v="41"/>
    <x v="9"/>
    <n v="32"/>
    <n v="5.0599999999999996"/>
    <n v="17"/>
    <n v="6.09"/>
    <n v="15"/>
    <n v="4.3600000000000003"/>
    <x v="0"/>
  </r>
  <r>
    <x v="0"/>
    <s v="加古郡稲美町"/>
    <x v="41"/>
    <x v="10"/>
    <n v="43"/>
    <n v="6.8"/>
    <n v="39"/>
    <n v="13.98"/>
    <n v="4"/>
    <n v="1.1599999999999999"/>
    <x v="0"/>
  </r>
  <r>
    <x v="0"/>
    <s v="加古郡稲美町"/>
    <x v="41"/>
    <x v="11"/>
    <n v="51"/>
    <n v="8.07"/>
    <n v="40"/>
    <n v="14.34"/>
    <n v="11"/>
    <n v="3.2"/>
    <x v="0"/>
  </r>
  <r>
    <x v="0"/>
    <s v="加古郡稲美町"/>
    <x v="41"/>
    <x v="12"/>
    <n v="22"/>
    <n v="3.48"/>
    <n v="16"/>
    <n v="5.73"/>
    <n v="4"/>
    <n v="1.1599999999999999"/>
    <x v="0"/>
  </r>
  <r>
    <x v="0"/>
    <s v="加古郡稲美町"/>
    <x v="41"/>
    <x v="13"/>
    <n v="25"/>
    <n v="3.96"/>
    <n v="13"/>
    <n v="4.66"/>
    <n v="8"/>
    <n v="2.33"/>
    <x v="0"/>
  </r>
  <r>
    <x v="0"/>
    <s v="加古郡稲美町"/>
    <x v="41"/>
    <x v="14"/>
    <n v="33"/>
    <n v="5.22"/>
    <n v="15"/>
    <n v="5.38"/>
    <n v="16"/>
    <n v="4.6500000000000004"/>
    <x v="0"/>
  </r>
  <r>
    <x v="0"/>
    <s v="加古郡播磨町"/>
    <x v="42"/>
    <x v="0"/>
    <n v="0"/>
    <n v="0"/>
    <n v="0"/>
    <n v="0"/>
    <n v="0"/>
    <n v="0"/>
    <x v="0"/>
  </r>
  <r>
    <x v="0"/>
    <s v="加古郡播磨町"/>
    <x v="42"/>
    <x v="1"/>
    <n v="83"/>
    <n v="14.9"/>
    <n v="20"/>
    <n v="6.37"/>
    <n v="63"/>
    <n v="26.36"/>
    <x v="0"/>
  </r>
  <r>
    <x v="0"/>
    <s v="加古郡播磨町"/>
    <x v="42"/>
    <x v="2"/>
    <n v="51"/>
    <n v="9.16"/>
    <n v="14"/>
    <n v="4.46"/>
    <n v="37"/>
    <n v="15.48"/>
    <x v="0"/>
  </r>
  <r>
    <x v="0"/>
    <s v="加古郡播磨町"/>
    <x v="42"/>
    <x v="3"/>
    <n v="0"/>
    <n v="0"/>
    <n v="0"/>
    <n v="0"/>
    <n v="0"/>
    <n v="0"/>
    <x v="0"/>
  </r>
  <r>
    <x v="0"/>
    <s v="加古郡播磨町"/>
    <x v="42"/>
    <x v="4"/>
    <n v="1"/>
    <n v="0.18"/>
    <n v="0"/>
    <n v="0"/>
    <n v="1"/>
    <n v="0.42"/>
    <x v="0"/>
  </r>
  <r>
    <x v="0"/>
    <s v="加古郡播磨町"/>
    <x v="42"/>
    <x v="5"/>
    <n v="9"/>
    <n v="1.62"/>
    <n v="2"/>
    <n v="0.64"/>
    <n v="7"/>
    <n v="2.93"/>
    <x v="0"/>
  </r>
  <r>
    <x v="0"/>
    <s v="加古郡播磨町"/>
    <x v="42"/>
    <x v="6"/>
    <n v="95"/>
    <n v="17.059999999999999"/>
    <n v="54"/>
    <n v="17.2"/>
    <n v="41"/>
    <n v="17.149999999999999"/>
    <x v="0"/>
  </r>
  <r>
    <x v="0"/>
    <s v="加古郡播磨町"/>
    <x v="42"/>
    <x v="7"/>
    <n v="4"/>
    <n v="0.72"/>
    <n v="2"/>
    <n v="0.64"/>
    <n v="2"/>
    <n v="0.84"/>
    <x v="0"/>
  </r>
  <r>
    <x v="0"/>
    <s v="加古郡播磨町"/>
    <x v="42"/>
    <x v="8"/>
    <n v="46"/>
    <n v="8.26"/>
    <n v="13"/>
    <n v="4.1399999999999997"/>
    <n v="33"/>
    <n v="13.81"/>
    <x v="0"/>
  </r>
  <r>
    <x v="0"/>
    <s v="加古郡播磨町"/>
    <x v="42"/>
    <x v="9"/>
    <n v="23"/>
    <n v="4.13"/>
    <n v="15"/>
    <n v="4.78"/>
    <n v="8"/>
    <n v="3.35"/>
    <x v="0"/>
  </r>
  <r>
    <x v="0"/>
    <s v="加古郡播磨町"/>
    <x v="42"/>
    <x v="10"/>
    <n v="68"/>
    <n v="12.21"/>
    <n v="63"/>
    <n v="20.059999999999999"/>
    <n v="5"/>
    <n v="2.09"/>
    <x v="0"/>
  </r>
  <r>
    <x v="0"/>
    <s v="加古郡播磨町"/>
    <x v="42"/>
    <x v="11"/>
    <n v="94"/>
    <n v="16.88"/>
    <n v="80"/>
    <n v="25.48"/>
    <n v="13"/>
    <n v="5.44"/>
    <x v="5"/>
  </r>
  <r>
    <x v="0"/>
    <s v="加古郡播磨町"/>
    <x v="42"/>
    <x v="12"/>
    <n v="35"/>
    <n v="6.28"/>
    <n v="28"/>
    <n v="8.92"/>
    <n v="7"/>
    <n v="2.93"/>
    <x v="0"/>
  </r>
  <r>
    <x v="0"/>
    <s v="加古郡播磨町"/>
    <x v="42"/>
    <x v="13"/>
    <n v="33"/>
    <n v="5.92"/>
    <n v="18"/>
    <n v="5.73"/>
    <n v="13"/>
    <n v="5.44"/>
    <x v="0"/>
  </r>
  <r>
    <x v="0"/>
    <s v="加古郡播磨町"/>
    <x v="42"/>
    <x v="14"/>
    <n v="15"/>
    <n v="2.69"/>
    <n v="5"/>
    <n v="1.59"/>
    <n v="9"/>
    <n v="3.77"/>
    <x v="5"/>
  </r>
  <r>
    <x v="0"/>
    <s v="神崎郡市川町"/>
    <x v="43"/>
    <x v="0"/>
    <n v="0"/>
    <n v="0"/>
    <n v="0"/>
    <n v="0"/>
    <n v="0"/>
    <n v="0"/>
    <x v="0"/>
  </r>
  <r>
    <x v="0"/>
    <s v="神崎郡市川町"/>
    <x v="43"/>
    <x v="1"/>
    <n v="68"/>
    <n v="22.74"/>
    <n v="50"/>
    <n v="23.15"/>
    <n v="18"/>
    <n v="23.08"/>
    <x v="0"/>
  </r>
  <r>
    <x v="0"/>
    <s v="神崎郡市川町"/>
    <x v="43"/>
    <x v="2"/>
    <n v="72"/>
    <n v="24.08"/>
    <n v="41"/>
    <n v="18.98"/>
    <n v="31"/>
    <n v="39.74"/>
    <x v="0"/>
  </r>
  <r>
    <x v="0"/>
    <s v="神崎郡市川町"/>
    <x v="43"/>
    <x v="3"/>
    <n v="0"/>
    <n v="0"/>
    <n v="0"/>
    <n v="0"/>
    <n v="0"/>
    <n v="0"/>
    <x v="0"/>
  </r>
  <r>
    <x v="0"/>
    <s v="神崎郡市川町"/>
    <x v="43"/>
    <x v="4"/>
    <n v="0"/>
    <n v="0"/>
    <n v="0"/>
    <n v="0"/>
    <n v="0"/>
    <n v="0"/>
    <x v="0"/>
  </r>
  <r>
    <x v="0"/>
    <s v="神崎郡市川町"/>
    <x v="43"/>
    <x v="5"/>
    <n v="4"/>
    <n v="1.34"/>
    <n v="1"/>
    <n v="0.46"/>
    <n v="2"/>
    <n v="2.56"/>
    <x v="5"/>
  </r>
  <r>
    <x v="0"/>
    <s v="神崎郡市川町"/>
    <x v="43"/>
    <x v="6"/>
    <n v="58"/>
    <n v="19.399999999999999"/>
    <n v="44"/>
    <n v="20.37"/>
    <n v="14"/>
    <n v="17.95"/>
    <x v="0"/>
  </r>
  <r>
    <x v="0"/>
    <s v="神崎郡市川町"/>
    <x v="43"/>
    <x v="7"/>
    <n v="1"/>
    <n v="0.33"/>
    <n v="1"/>
    <n v="0.46"/>
    <n v="0"/>
    <n v="0"/>
    <x v="0"/>
  </r>
  <r>
    <x v="0"/>
    <s v="神崎郡市川町"/>
    <x v="43"/>
    <x v="8"/>
    <n v="6"/>
    <n v="2.0099999999999998"/>
    <n v="4"/>
    <n v="1.85"/>
    <n v="1"/>
    <n v="1.28"/>
    <x v="5"/>
  </r>
  <r>
    <x v="0"/>
    <s v="神崎郡市川町"/>
    <x v="43"/>
    <x v="9"/>
    <n v="12"/>
    <n v="4.01"/>
    <n v="8"/>
    <n v="3.7"/>
    <n v="4"/>
    <n v="5.13"/>
    <x v="0"/>
  </r>
  <r>
    <x v="0"/>
    <s v="神崎郡市川町"/>
    <x v="43"/>
    <x v="10"/>
    <n v="20"/>
    <n v="6.69"/>
    <n v="19"/>
    <n v="8.8000000000000007"/>
    <n v="1"/>
    <n v="1.28"/>
    <x v="0"/>
  </r>
  <r>
    <x v="0"/>
    <s v="神崎郡市川町"/>
    <x v="43"/>
    <x v="11"/>
    <n v="29"/>
    <n v="9.6999999999999993"/>
    <n v="23"/>
    <n v="10.65"/>
    <n v="5"/>
    <n v="6.41"/>
    <x v="0"/>
  </r>
  <r>
    <x v="0"/>
    <s v="神崎郡市川町"/>
    <x v="43"/>
    <x v="12"/>
    <n v="10"/>
    <n v="3.34"/>
    <n v="9"/>
    <n v="4.17"/>
    <n v="0"/>
    <n v="0"/>
    <x v="0"/>
  </r>
  <r>
    <x v="0"/>
    <s v="神崎郡市川町"/>
    <x v="43"/>
    <x v="13"/>
    <n v="9"/>
    <n v="3.01"/>
    <n v="8"/>
    <n v="3.7"/>
    <n v="0"/>
    <n v="0"/>
    <x v="0"/>
  </r>
  <r>
    <x v="0"/>
    <s v="神崎郡市川町"/>
    <x v="43"/>
    <x v="14"/>
    <n v="10"/>
    <n v="3.34"/>
    <n v="8"/>
    <n v="3.7"/>
    <n v="2"/>
    <n v="2.56"/>
    <x v="0"/>
  </r>
  <r>
    <x v="0"/>
    <s v="神崎郡福崎町"/>
    <x v="44"/>
    <x v="0"/>
    <n v="0"/>
    <n v="0"/>
    <n v="0"/>
    <n v="0"/>
    <n v="0"/>
    <n v="0"/>
    <x v="0"/>
  </r>
  <r>
    <x v="0"/>
    <s v="神崎郡福崎町"/>
    <x v="44"/>
    <x v="1"/>
    <n v="70"/>
    <n v="13.73"/>
    <n v="27"/>
    <n v="9.18"/>
    <n v="43"/>
    <n v="20.87"/>
    <x v="0"/>
  </r>
  <r>
    <x v="0"/>
    <s v="神崎郡福崎町"/>
    <x v="44"/>
    <x v="2"/>
    <n v="68"/>
    <n v="13.33"/>
    <n v="35"/>
    <n v="11.9"/>
    <n v="33"/>
    <n v="16.02"/>
    <x v="0"/>
  </r>
  <r>
    <x v="0"/>
    <s v="神崎郡福崎町"/>
    <x v="44"/>
    <x v="3"/>
    <n v="1"/>
    <n v="0.2"/>
    <n v="0"/>
    <n v="0"/>
    <n v="0"/>
    <n v="0"/>
    <x v="0"/>
  </r>
  <r>
    <x v="0"/>
    <s v="神崎郡福崎町"/>
    <x v="44"/>
    <x v="4"/>
    <n v="4"/>
    <n v="0.78"/>
    <n v="0"/>
    <n v="0"/>
    <n v="4"/>
    <n v="1.94"/>
    <x v="0"/>
  </r>
  <r>
    <x v="0"/>
    <s v="神崎郡福崎町"/>
    <x v="44"/>
    <x v="5"/>
    <n v="7"/>
    <n v="1.37"/>
    <n v="0"/>
    <n v="0"/>
    <n v="7"/>
    <n v="3.4"/>
    <x v="0"/>
  </r>
  <r>
    <x v="0"/>
    <s v="神崎郡福崎町"/>
    <x v="44"/>
    <x v="6"/>
    <n v="119"/>
    <n v="23.33"/>
    <n v="66"/>
    <n v="22.45"/>
    <n v="53"/>
    <n v="25.73"/>
    <x v="0"/>
  </r>
  <r>
    <x v="0"/>
    <s v="神崎郡福崎町"/>
    <x v="44"/>
    <x v="7"/>
    <n v="2"/>
    <n v="0.39"/>
    <n v="0"/>
    <n v="0"/>
    <n v="2"/>
    <n v="0.97"/>
    <x v="0"/>
  </r>
  <r>
    <x v="0"/>
    <s v="神崎郡福崎町"/>
    <x v="44"/>
    <x v="8"/>
    <n v="39"/>
    <n v="7.65"/>
    <n v="21"/>
    <n v="7.14"/>
    <n v="18"/>
    <n v="8.74"/>
    <x v="0"/>
  </r>
  <r>
    <x v="0"/>
    <s v="神崎郡福崎町"/>
    <x v="44"/>
    <x v="9"/>
    <n v="15"/>
    <n v="2.94"/>
    <n v="9"/>
    <n v="3.06"/>
    <n v="6"/>
    <n v="2.91"/>
    <x v="0"/>
  </r>
  <r>
    <x v="0"/>
    <s v="神崎郡福崎町"/>
    <x v="44"/>
    <x v="10"/>
    <n v="44"/>
    <n v="8.6300000000000008"/>
    <n v="33"/>
    <n v="11.22"/>
    <n v="11"/>
    <n v="5.34"/>
    <x v="0"/>
  </r>
  <r>
    <x v="0"/>
    <s v="神崎郡福崎町"/>
    <x v="44"/>
    <x v="11"/>
    <n v="65"/>
    <n v="12.75"/>
    <n v="56"/>
    <n v="19.05"/>
    <n v="8"/>
    <n v="3.88"/>
    <x v="0"/>
  </r>
  <r>
    <x v="0"/>
    <s v="神崎郡福崎町"/>
    <x v="44"/>
    <x v="12"/>
    <n v="35"/>
    <n v="6.86"/>
    <n v="21"/>
    <n v="7.14"/>
    <n v="8"/>
    <n v="3.88"/>
    <x v="0"/>
  </r>
  <r>
    <x v="0"/>
    <s v="神崎郡福崎町"/>
    <x v="44"/>
    <x v="13"/>
    <n v="16"/>
    <n v="3.14"/>
    <n v="14"/>
    <n v="4.76"/>
    <n v="2"/>
    <n v="0.97"/>
    <x v="0"/>
  </r>
  <r>
    <x v="0"/>
    <s v="神崎郡福崎町"/>
    <x v="44"/>
    <x v="14"/>
    <n v="25"/>
    <n v="4.9000000000000004"/>
    <n v="12"/>
    <n v="4.08"/>
    <n v="11"/>
    <n v="5.34"/>
    <x v="0"/>
  </r>
  <r>
    <x v="0"/>
    <s v="神崎郡神河町"/>
    <x v="45"/>
    <x v="0"/>
    <n v="0"/>
    <n v="0"/>
    <n v="0"/>
    <n v="0"/>
    <n v="0"/>
    <n v="0"/>
    <x v="0"/>
  </r>
  <r>
    <x v="0"/>
    <s v="神崎郡神河町"/>
    <x v="45"/>
    <x v="1"/>
    <n v="78"/>
    <n v="22.54"/>
    <n v="49"/>
    <n v="20"/>
    <n v="29"/>
    <n v="30.85"/>
    <x v="0"/>
  </r>
  <r>
    <x v="0"/>
    <s v="神崎郡神河町"/>
    <x v="45"/>
    <x v="2"/>
    <n v="28"/>
    <n v="8.09"/>
    <n v="15"/>
    <n v="6.12"/>
    <n v="13"/>
    <n v="13.83"/>
    <x v="0"/>
  </r>
  <r>
    <x v="0"/>
    <s v="神崎郡神河町"/>
    <x v="45"/>
    <x v="3"/>
    <n v="2"/>
    <n v="0.57999999999999996"/>
    <n v="0"/>
    <n v="0"/>
    <n v="2"/>
    <n v="2.13"/>
    <x v="0"/>
  </r>
  <r>
    <x v="0"/>
    <s v="神崎郡神河町"/>
    <x v="45"/>
    <x v="4"/>
    <n v="0"/>
    <n v="0"/>
    <n v="0"/>
    <n v="0"/>
    <n v="0"/>
    <n v="0"/>
    <x v="0"/>
  </r>
  <r>
    <x v="0"/>
    <s v="神崎郡神河町"/>
    <x v="45"/>
    <x v="5"/>
    <n v="3"/>
    <n v="0.87"/>
    <n v="0"/>
    <n v="0"/>
    <n v="3"/>
    <n v="3.19"/>
    <x v="0"/>
  </r>
  <r>
    <x v="0"/>
    <s v="神崎郡神河町"/>
    <x v="45"/>
    <x v="6"/>
    <n v="77"/>
    <n v="22.25"/>
    <n v="55"/>
    <n v="22.45"/>
    <n v="22"/>
    <n v="23.4"/>
    <x v="0"/>
  </r>
  <r>
    <x v="0"/>
    <s v="神崎郡神河町"/>
    <x v="45"/>
    <x v="7"/>
    <n v="0"/>
    <n v="0"/>
    <n v="0"/>
    <n v="0"/>
    <n v="0"/>
    <n v="0"/>
    <x v="0"/>
  </r>
  <r>
    <x v="0"/>
    <s v="神崎郡神河町"/>
    <x v="45"/>
    <x v="8"/>
    <n v="11"/>
    <n v="3.18"/>
    <n v="7"/>
    <n v="2.86"/>
    <n v="4"/>
    <n v="4.26"/>
    <x v="0"/>
  </r>
  <r>
    <x v="0"/>
    <s v="神崎郡神河町"/>
    <x v="45"/>
    <x v="9"/>
    <n v="11"/>
    <n v="3.18"/>
    <n v="8"/>
    <n v="3.27"/>
    <n v="3"/>
    <n v="3.19"/>
    <x v="0"/>
  </r>
  <r>
    <x v="0"/>
    <s v="神崎郡神河町"/>
    <x v="45"/>
    <x v="10"/>
    <n v="50"/>
    <n v="14.45"/>
    <n v="47"/>
    <n v="19.18"/>
    <n v="2"/>
    <n v="2.13"/>
    <x v="5"/>
  </r>
  <r>
    <x v="0"/>
    <s v="神崎郡神河町"/>
    <x v="45"/>
    <x v="11"/>
    <n v="36"/>
    <n v="10.4"/>
    <n v="33"/>
    <n v="13.47"/>
    <n v="2"/>
    <n v="2.13"/>
    <x v="0"/>
  </r>
  <r>
    <x v="0"/>
    <s v="神崎郡神河町"/>
    <x v="45"/>
    <x v="12"/>
    <n v="15"/>
    <n v="4.34"/>
    <n v="13"/>
    <n v="5.31"/>
    <n v="0"/>
    <n v="0"/>
    <x v="0"/>
  </r>
  <r>
    <x v="0"/>
    <s v="神崎郡神河町"/>
    <x v="45"/>
    <x v="13"/>
    <n v="11"/>
    <n v="3.18"/>
    <n v="4"/>
    <n v="1.63"/>
    <n v="6"/>
    <n v="6.38"/>
    <x v="0"/>
  </r>
  <r>
    <x v="0"/>
    <s v="神崎郡神河町"/>
    <x v="45"/>
    <x v="14"/>
    <n v="24"/>
    <n v="6.94"/>
    <n v="14"/>
    <n v="5.71"/>
    <n v="8"/>
    <n v="8.51"/>
    <x v="5"/>
  </r>
  <r>
    <x v="0"/>
    <s v="揖保郡太子町"/>
    <x v="46"/>
    <x v="0"/>
    <n v="0"/>
    <n v="0"/>
    <n v="0"/>
    <n v="0"/>
    <n v="0"/>
    <n v="0"/>
    <x v="0"/>
  </r>
  <r>
    <x v="0"/>
    <s v="揖保郡太子町"/>
    <x v="46"/>
    <x v="1"/>
    <n v="149"/>
    <n v="20.11"/>
    <n v="62"/>
    <n v="13.72"/>
    <n v="87"/>
    <n v="31.18"/>
    <x v="0"/>
  </r>
  <r>
    <x v="0"/>
    <s v="揖保郡太子町"/>
    <x v="46"/>
    <x v="2"/>
    <n v="52"/>
    <n v="7.02"/>
    <n v="21"/>
    <n v="4.6500000000000004"/>
    <n v="31"/>
    <n v="11.11"/>
    <x v="0"/>
  </r>
  <r>
    <x v="0"/>
    <s v="揖保郡太子町"/>
    <x v="46"/>
    <x v="3"/>
    <n v="0"/>
    <n v="0"/>
    <n v="0"/>
    <n v="0"/>
    <n v="0"/>
    <n v="0"/>
    <x v="0"/>
  </r>
  <r>
    <x v="0"/>
    <s v="揖保郡太子町"/>
    <x v="46"/>
    <x v="4"/>
    <n v="3"/>
    <n v="0.4"/>
    <n v="1"/>
    <n v="0.22"/>
    <n v="2"/>
    <n v="0.72"/>
    <x v="0"/>
  </r>
  <r>
    <x v="0"/>
    <s v="揖保郡太子町"/>
    <x v="46"/>
    <x v="5"/>
    <n v="6"/>
    <n v="0.81"/>
    <n v="2"/>
    <n v="0.44"/>
    <n v="4"/>
    <n v="1.43"/>
    <x v="0"/>
  </r>
  <r>
    <x v="0"/>
    <s v="揖保郡太子町"/>
    <x v="46"/>
    <x v="6"/>
    <n v="142"/>
    <n v="19.16"/>
    <n v="84"/>
    <n v="18.579999999999998"/>
    <n v="58"/>
    <n v="20.79"/>
    <x v="0"/>
  </r>
  <r>
    <x v="0"/>
    <s v="揖保郡太子町"/>
    <x v="46"/>
    <x v="7"/>
    <n v="3"/>
    <n v="0.4"/>
    <n v="2"/>
    <n v="0.44"/>
    <n v="1"/>
    <n v="0.36"/>
    <x v="0"/>
  </r>
  <r>
    <x v="0"/>
    <s v="揖保郡太子町"/>
    <x v="46"/>
    <x v="8"/>
    <n v="70"/>
    <n v="9.4499999999999993"/>
    <n v="37"/>
    <n v="8.19"/>
    <n v="33"/>
    <n v="11.83"/>
    <x v="0"/>
  </r>
  <r>
    <x v="0"/>
    <s v="揖保郡太子町"/>
    <x v="46"/>
    <x v="9"/>
    <n v="32"/>
    <n v="4.32"/>
    <n v="22"/>
    <n v="4.87"/>
    <n v="10"/>
    <n v="3.58"/>
    <x v="0"/>
  </r>
  <r>
    <x v="0"/>
    <s v="揖保郡太子町"/>
    <x v="46"/>
    <x v="10"/>
    <n v="71"/>
    <n v="9.58"/>
    <n v="60"/>
    <n v="13.27"/>
    <n v="10"/>
    <n v="3.58"/>
    <x v="0"/>
  </r>
  <r>
    <x v="0"/>
    <s v="揖保郡太子町"/>
    <x v="46"/>
    <x v="11"/>
    <n v="97"/>
    <n v="13.09"/>
    <n v="80"/>
    <n v="17.7"/>
    <n v="15"/>
    <n v="5.38"/>
    <x v="0"/>
  </r>
  <r>
    <x v="0"/>
    <s v="揖保郡太子町"/>
    <x v="46"/>
    <x v="12"/>
    <n v="61"/>
    <n v="8.23"/>
    <n v="50"/>
    <n v="11.06"/>
    <n v="6"/>
    <n v="2.15"/>
    <x v="0"/>
  </r>
  <r>
    <x v="0"/>
    <s v="揖保郡太子町"/>
    <x v="46"/>
    <x v="13"/>
    <n v="34"/>
    <n v="4.59"/>
    <n v="20"/>
    <n v="4.42"/>
    <n v="12"/>
    <n v="4.3"/>
    <x v="0"/>
  </r>
  <r>
    <x v="0"/>
    <s v="揖保郡太子町"/>
    <x v="46"/>
    <x v="14"/>
    <n v="21"/>
    <n v="2.83"/>
    <n v="11"/>
    <n v="2.4300000000000002"/>
    <n v="10"/>
    <n v="3.58"/>
    <x v="0"/>
  </r>
  <r>
    <x v="0"/>
    <s v="赤穂郡上郡町"/>
    <x v="47"/>
    <x v="0"/>
    <n v="0"/>
    <n v="0"/>
    <n v="0"/>
    <n v="0"/>
    <n v="0"/>
    <n v="0"/>
    <x v="0"/>
  </r>
  <r>
    <x v="0"/>
    <s v="赤穂郡上郡町"/>
    <x v="47"/>
    <x v="1"/>
    <n v="63"/>
    <n v="16.940000000000001"/>
    <n v="33"/>
    <n v="13.52"/>
    <n v="30"/>
    <n v="27.03"/>
    <x v="0"/>
  </r>
  <r>
    <x v="0"/>
    <s v="赤穂郡上郡町"/>
    <x v="47"/>
    <x v="2"/>
    <n v="22"/>
    <n v="5.91"/>
    <n v="14"/>
    <n v="5.74"/>
    <n v="8"/>
    <n v="7.21"/>
    <x v="0"/>
  </r>
  <r>
    <x v="0"/>
    <s v="赤穂郡上郡町"/>
    <x v="47"/>
    <x v="3"/>
    <n v="0"/>
    <n v="0"/>
    <n v="0"/>
    <n v="0"/>
    <n v="0"/>
    <n v="0"/>
    <x v="0"/>
  </r>
  <r>
    <x v="0"/>
    <s v="赤穂郡上郡町"/>
    <x v="47"/>
    <x v="4"/>
    <n v="0"/>
    <n v="0"/>
    <n v="0"/>
    <n v="0"/>
    <n v="0"/>
    <n v="0"/>
    <x v="0"/>
  </r>
  <r>
    <x v="0"/>
    <s v="赤穂郡上郡町"/>
    <x v="47"/>
    <x v="5"/>
    <n v="5"/>
    <n v="1.34"/>
    <n v="1"/>
    <n v="0.41"/>
    <n v="3"/>
    <n v="2.7"/>
    <x v="5"/>
  </r>
  <r>
    <x v="0"/>
    <s v="赤穂郡上郡町"/>
    <x v="47"/>
    <x v="6"/>
    <n v="95"/>
    <n v="25.54"/>
    <n v="59"/>
    <n v="24.18"/>
    <n v="35"/>
    <n v="31.53"/>
    <x v="5"/>
  </r>
  <r>
    <x v="0"/>
    <s v="赤穂郡上郡町"/>
    <x v="47"/>
    <x v="7"/>
    <n v="1"/>
    <n v="0.27"/>
    <n v="0"/>
    <n v="0"/>
    <n v="1"/>
    <n v="0.9"/>
    <x v="0"/>
  </r>
  <r>
    <x v="0"/>
    <s v="赤穂郡上郡町"/>
    <x v="47"/>
    <x v="8"/>
    <n v="35"/>
    <n v="9.41"/>
    <n v="29"/>
    <n v="11.89"/>
    <n v="6"/>
    <n v="5.41"/>
    <x v="0"/>
  </r>
  <r>
    <x v="0"/>
    <s v="赤穂郡上郡町"/>
    <x v="47"/>
    <x v="9"/>
    <n v="17"/>
    <n v="4.57"/>
    <n v="10"/>
    <n v="4.0999999999999996"/>
    <n v="7"/>
    <n v="6.31"/>
    <x v="0"/>
  </r>
  <r>
    <x v="0"/>
    <s v="赤穂郡上郡町"/>
    <x v="47"/>
    <x v="10"/>
    <n v="30"/>
    <n v="8.06"/>
    <n v="28"/>
    <n v="11.48"/>
    <n v="1"/>
    <n v="0.9"/>
    <x v="0"/>
  </r>
  <r>
    <x v="0"/>
    <s v="赤穂郡上郡町"/>
    <x v="47"/>
    <x v="11"/>
    <n v="49"/>
    <n v="13.17"/>
    <n v="41"/>
    <n v="16.8"/>
    <n v="8"/>
    <n v="7.21"/>
    <x v="0"/>
  </r>
  <r>
    <x v="0"/>
    <s v="赤穂郡上郡町"/>
    <x v="47"/>
    <x v="12"/>
    <n v="27"/>
    <n v="7.26"/>
    <n v="15"/>
    <n v="6.15"/>
    <n v="1"/>
    <n v="0.9"/>
    <x v="0"/>
  </r>
  <r>
    <x v="0"/>
    <s v="赤穂郡上郡町"/>
    <x v="47"/>
    <x v="13"/>
    <n v="19"/>
    <n v="5.1100000000000003"/>
    <n v="11"/>
    <n v="4.51"/>
    <n v="7"/>
    <n v="6.31"/>
    <x v="0"/>
  </r>
  <r>
    <x v="0"/>
    <s v="赤穂郡上郡町"/>
    <x v="47"/>
    <x v="14"/>
    <n v="9"/>
    <n v="2.42"/>
    <n v="3"/>
    <n v="1.23"/>
    <n v="4"/>
    <n v="3.6"/>
    <x v="0"/>
  </r>
  <r>
    <x v="0"/>
    <s v="佐用郡佐用町"/>
    <x v="48"/>
    <x v="0"/>
    <n v="0"/>
    <n v="0"/>
    <n v="0"/>
    <n v="0"/>
    <n v="0"/>
    <n v="0"/>
    <x v="0"/>
  </r>
  <r>
    <x v="0"/>
    <s v="佐用郡佐用町"/>
    <x v="48"/>
    <x v="1"/>
    <n v="123"/>
    <n v="21.5"/>
    <n v="70"/>
    <n v="18.09"/>
    <n v="53"/>
    <n v="30.29"/>
    <x v="0"/>
  </r>
  <r>
    <x v="0"/>
    <s v="佐用郡佐用町"/>
    <x v="48"/>
    <x v="2"/>
    <n v="56"/>
    <n v="9.7899999999999991"/>
    <n v="30"/>
    <n v="7.75"/>
    <n v="26"/>
    <n v="14.86"/>
    <x v="0"/>
  </r>
  <r>
    <x v="0"/>
    <s v="佐用郡佐用町"/>
    <x v="48"/>
    <x v="3"/>
    <n v="0"/>
    <n v="0"/>
    <n v="0"/>
    <n v="0"/>
    <n v="0"/>
    <n v="0"/>
    <x v="0"/>
  </r>
  <r>
    <x v="0"/>
    <s v="佐用郡佐用町"/>
    <x v="48"/>
    <x v="4"/>
    <n v="3"/>
    <n v="0.52"/>
    <n v="0"/>
    <n v="0"/>
    <n v="3"/>
    <n v="1.71"/>
    <x v="0"/>
  </r>
  <r>
    <x v="0"/>
    <s v="佐用郡佐用町"/>
    <x v="48"/>
    <x v="5"/>
    <n v="7"/>
    <n v="1.22"/>
    <n v="3"/>
    <n v="0.78"/>
    <n v="4"/>
    <n v="2.29"/>
    <x v="0"/>
  </r>
  <r>
    <x v="0"/>
    <s v="佐用郡佐用町"/>
    <x v="48"/>
    <x v="6"/>
    <n v="150"/>
    <n v="26.22"/>
    <n v="108"/>
    <n v="27.91"/>
    <n v="42"/>
    <n v="24"/>
    <x v="0"/>
  </r>
  <r>
    <x v="0"/>
    <s v="佐用郡佐用町"/>
    <x v="48"/>
    <x v="7"/>
    <n v="8"/>
    <n v="1.4"/>
    <n v="6"/>
    <n v="1.55"/>
    <n v="2"/>
    <n v="1.1399999999999999"/>
    <x v="0"/>
  </r>
  <r>
    <x v="0"/>
    <s v="佐用郡佐用町"/>
    <x v="48"/>
    <x v="8"/>
    <n v="11"/>
    <n v="1.92"/>
    <n v="3"/>
    <n v="0.78"/>
    <n v="8"/>
    <n v="4.57"/>
    <x v="0"/>
  </r>
  <r>
    <x v="0"/>
    <s v="佐用郡佐用町"/>
    <x v="48"/>
    <x v="9"/>
    <n v="26"/>
    <n v="4.55"/>
    <n v="15"/>
    <n v="3.88"/>
    <n v="10"/>
    <n v="5.71"/>
    <x v="0"/>
  </r>
  <r>
    <x v="0"/>
    <s v="佐用郡佐用町"/>
    <x v="48"/>
    <x v="10"/>
    <n v="61"/>
    <n v="10.66"/>
    <n v="60"/>
    <n v="15.5"/>
    <n v="1"/>
    <n v="0.56999999999999995"/>
    <x v="0"/>
  </r>
  <r>
    <x v="0"/>
    <s v="佐用郡佐用町"/>
    <x v="48"/>
    <x v="11"/>
    <n v="65"/>
    <n v="11.36"/>
    <n v="58"/>
    <n v="14.99"/>
    <n v="4"/>
    <n v="2.29"/>
    <x v="0"/>
  </r>
  <r>
    <x v="0"/>
    <s v="佐用郡佐用町"/>
    <x v="48"/>
    <x v="12"/>
    <n v="15"/>
    <n v="2.62"/>
    <n v="11"/>
    <n v="2.84"/>
    <n v="3"/>
    <n v="1.71"/>
    <x v="0"/>
  </r>
  <r>
    <x v="0"/>
    <s v="佐用郡佐用町"/>
    <x v="48"/>
    <x v="13"/>
    <n v="23"/>
    <n v="4.0199999999999996"/>
    <n v="8"/>
    <n v="2.0699999999999998"/>
    <n v="12"/>
    <n v="6.86"/>
    <x v="0"/>
  </r>
  <r>
    <x v="0"/>
    <s v="佐用郡佐用町"/>
    <x v="48"/>
    <x v="14"/>
    <n v="24"/>
    <n v="4.2"/>
    <n v="15"/>
    <n v="3.88"/>
    <n v="7"/>
    <n v="4"/>
    <x v="0"/>
  </r>
  <r>
    <x v="0"/>
    <s v="美方郡香美町"/>
    <x v="49"/>
    <x v="0"/>
    <n v="1"/>
    <n v="0.14000000000000001"/>
    <n v="0"/>
    <n v="0"/>
    <n v="1"/>
    <n v="0.61"/>
    <x v="0"/>
  </r>
  <r>
    <x v="0"/>
    <s v="美方郡香美町"/>
    <x v="49"/>
    <x v="1"/>
    <n v="118"/>
    <n v="16.010000000000002"/>
    <n v="95"/>
    <n v="17.82"/>
    <n v="23"/>
    <n v="14.02"/>
    <x v="0"/>
  </r>
  <r>
    <x v="0"/>
    <s v="美方郡香美町"/>
    <x v="49"/>
    <x v="2"/>
    <n v="84"/>
    <n v="11.4"/>
    <n v="37"/>
    <n v="6.94"/>
    <n v="46"/>
    <n v="28.05"/>
    <x v="5"/>
  </r>
  <r>
    <x v="0"/>
    <s v="美方郡香美町"/>
    <x v="49"/>
    <x v="3"/>
    <n v="0"/>
    <n v="0"/>
    <n v="0"/>
    <n v="0"/>
    <n v="0"/>
    <n v="0"/>
    <x v="0"/>
  </r>
  <r>
    <x v="0"/>
    <s v="美方郡香美町"/>
    <x v="49"/>
    <x v="4"/>
    <n v="3"/>
    <n v="0.41"/>
    <n v="1"/>
    <n v="0.19"/>
    <n v="2"/>
    <n v="1.22"/>
    <x v="0"/>
  </r>
  <r>
    <x v="0"/>
    <s v="美方郡香美町"/>
    <x v="49"/>
    <x v="5"/>
    <n v="8"/>
    <n v="1.0900000000000001"/>
    <n v="1"/>
    <n v="0.19"/>
    <n v="4"/>
    <n v="2.44"/>
    <x v="14"/>
  </r>
  <r>
    <x v="0"/>
    <s v="美方郡香美町"/>
    <x v="49"/>
    <x v="6"/>
    <n v="187"/>
    <n v="25.37"/>
    <n v="140"/>
    <n v="26.27"/>
    <n v="47"/>
    <n v="28.66"/>
    <x v="0"/>
  </r>
  <r>
    <x v="0"/>
    <s v="美方郡香美町"/>
    <x v="49"/>
    <x v="7"/>
    <n v="1"/>
    <n v="0.14000000000000001"/>
    <n v="0"/>
    <n v="0"/>
    <n v="1"/>
    <n v="0.61"/>
    <x v="0"/>
  </r>
  <r>
    <x v="0"/>
    <s v="美方郡香美町"/>
    <x v="49"/>
    <x v="8"/>
    <n v="20"/>
    <n v="2.71"/>
    <n v="6"/>
    <n v="1.1299999999999999"/>
    <n v="13"/>
    <n v="7.93"/>
    <x v="5"/>
  </r>
  <r>
    <x v="0"/>
    <s v="美方郡香美町"/>
    <x v="49"/>
    <x v="9"/>
    <n v="22"/>
    <n v="2.99"/>
    <n v="19"/>
    <n v="3.56"/>
    <n v="2"/>
    <n v="1.22"/>
    <x v="0"/>
  </r>
  <r>
    <x v="0"/>
    <s v="美方郡香美町"/>
    <x v="49"/>
    <x v="10"/>
    <n v="143"/>
    <n v="19.399999999999999"/>
    <n v="132"/>
    <n v="24.77"/>
    <n v="11"/>
    <n v="6.71"/>
    <x v="0"/>
  </r>
  <r>
    <x v="0"/>
    <s v="美方郡香美町"/>
    <x v="49"/>
    <x v="11"/>
    <n v="65"/>
    <n v="8.82"/>
    <n v="56"/>
    <n v="10.51"/>
    <n v="5"/>
    <n v="3.05"/>
    <x v="5"/>
  </r>
  <r>
    <x v="0"/>
    <s v="美方郡香美町"/>
    <x v="49"/>
    <x v="12"/>
    <n v="38"/>
    <n v="5.16"/>
    <n v="23"/>
    <n v="4.32"/>
    <n v="1"/>
    <n v="0.61"/>
    <x v="5"/>
  </r>
  <r>
    <x v="0"/>
    <s v="美方郡香美町"/>
    <x v="49"/>
    <x v="13"/>
    <n v="38"/>
    <n v="5.16"/>
    <n v="17"/>
    <n v="3.19"/>
    <n v="6"/>
    <n v="3.66"/>
    <x v="0"/>
  </r>
  <r>
    <x v="0"/>
    <s v="美方郡香美町"/>
    <x v="49"/>
    <x v="14"/>
    <n v="9"/>
    <n v="1.22"/>
    <n v="6"/>
    <n v="1.1299999999999999"/>
    <n v="2"/>
    <n v="1.22"/>
    <x v="0"/>
  </r>
  <r>
    <x v="0"/>
    <s v="美方郡新温泉町"/>
    <x v="50"/>
    <x v="0"/>
    <n v="0"/>
    <n v="0"/>
    <n v="0"/>
    <n v="0"/>
    <n v="0"/>
    <n v="0"/>
    <x v="0"/>
  </r>
  <r>
    <x v="0"/>
    <s v="美方郡新温泉町"/>
    <x v="50"/>
    <x v="1"/>
    <n v="80"/>
    <n v="19.23"/>
    <n v="34"/>
    <n v="12.01"/>
    <n v="46"/>
    <n v="39.32"/>
    <x v="0"/>
  </r>
  <r>
    <x v="0"/>
    <s v="美方郡新温泉町"/>
    <x v="50"/>
    <x v="2"/>
    <n v="24"/>
    <n v="5.77"/>
    <n v="16"/>
    <n v="5.65"/>
    <n v="8"/>
    <n v="6.84"/>
    <x v="0"/>
  </r>
  <r>
    <x v="0"/>
    <s v="美方郡新温泉町"/>
    <x v="50"/>
    <x v="3"/>
    <n v="0"/>
    <n v="0"/>
    <n v="0"/>
    <n v="0"/>
    <n v="0"/>
    <n v="0"/>
    <x v="0"/>
  </r>
  <r>
    <x v="0"/>
    <s v="美方郡新温泉町"/>
    <x v="50"/>
    <x v="4"/>
    <n v="1"/>
    <n v="0.24"/>
    <n v="0"/>
    <n v="0"/>
    <n v="1"/>
    <n v="0.85"/>
    <x v="0"/>
  </r>
  <r>
    <x v="0"/>
    <s v="美方郡新温泉町"/>
    <x v="50"/>
    <x v="5"/>
    <n v="4"/>
    <n v="0.96"/>
    <n v="2"/>
    <n v="0.71"/>
    <n v="1"/>
    <n v="0.85"/>
    <x v="5"/>
  </r>
  <r>
    <x v="0"/>
    <s v="美方郡新温泉町"/>
    <x v="50"/>
    <x v="6"/>
    <n v="109"/>
    <n v="26.2"/>
    <n v="75"/>
    <n v="26.5"/>
    <n v="34"/>
    <n v="29.06"/>
    <x v="0"/>
  </r>
  <r>
    <x v="0"/>
    <s v="美方郡新温泉町"/>
    <x v="50"/>
    <x v="7"/>
    <n v="2"/>
    <n v="0.48"/>
    <n v="0"/>
    <n v="0"/>
    <n v="2"/>
    <n v="1.71"/>
    <x v="0"/>
  </r>
  <r>
    <x v="0"/>
    <s v="美方郡新温泉町"/>
    <x v="50"/>
    <x v="8"/>
    <n v="15"/>
    <n v="3.61"/>
    <n v="9"/>
    <n v="3.18"/>
    <n v="6"/>
    <n v="5.13"/>
    <x v="0"/>
  </r>
  <r>
    <x v="0"/>
    <s v="美方郡新温泉町"/>
    <x v="50"/>
    <x v="9"/>
    <n v="14"/>
    <n v="3.37"/>
    <n v="13"/>
    <n v="4.59"/>
    <n v="1"/>
    <n v="0.85"/>
    <x v="0"/>
  </r>
  <r>
    <x v="0"/>
    <s v="美方郡新温泉町"/>
    <x v="50"/>
    <x v="10"/>
    <n v="70"/>
    <n v="16.829999999999998"/>
    <n v="62"/>
    <n v="21.91"/>
    <n v="7"/>
    <n v="5.98"/>
    <x v="0"/>
  </r>
  <r>
    <x v="0"/>
    <s v="美方郡新温泉町"/>
    <x v="50"/>
    <x v="11"/>
    <n v="52"/>
    <n v="12.5"/>
    <n v="48"/>
    <n v="16.96"/>
    <n v="1"/>
    <n v="0.85"/>
    <x v="5"/>
  </r>
  <r>
    <x v="0"/>
    <s v="美方郡新温泉町"/>
    <x v="50"/>
    <x v="12"/>
    <n v="10"/>
    <n v="2.4"/>
    <n v="5"/>
    <n v="1.77"/>
    <n v="2"/>
    <n v="1.71"/>
    <x v="5"/>
  </r>
  <r>
    <x v="0"/>
    <s v="美方郡新温泉町"/>
    <x v="50"/>
    <x v="13"/>
    <n v="22"/>
    <n v="5.29"/>
    <n v="10"/>
    <n v="3.53"/>
    <n v="6"/>
    <n v="5.13"/>
    <x v="0"/>
  </r>
  <r>
    <x v="0"/>
    <s v="美方郡新温泉町"/>
    <x v="50"/>
    <x v="14"/>
    <n v="13"/>
    <n v="3.13"/>
    <n v="9"/>
    <n v="3.18"/>
    <n v="2"/>
    <n v="1.7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1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5"/>
  </r>
  <r>
    <x v="0"/>
    <x v="0"/>
    <x v="0"/>
    <x v="6"/>
    <x v="6"/>
    <x v="6"/>
    <x v="6"/>
    <x v="6"/>
    <x v="6"/>
    <x v="6"/>
    <x v="6"/>
    <x v="6"/>
    <x v="6"/>
    <x v="6"/>
  </r>
  <r>
    <x v="0"/>
    <x v="0"/>
    <x v="0"/>
    <x v="7"/>
    <x v="7"/>
    <x v="7"/>
    <x v="7"/>
    <x v="7"/>
    <x v="7"/>
    <x v="7"/>
    <x v="7"/>
    <x v="7"/>
    <x v="7"/>
    <x v="7"/>
  </r>
  <r>
    <x v="0"/>
    <x v="0"/>
    <x v="0"/>
    <x v="8"/>
    <x v="8"/>
    <x v="8"/>
    <x v="8"/>
    <x v="8"/>
    <x v="8"/>
    <x v="8"/>
    <x v="8"/>
    <x v="8"/>
    <x v="8"/>
    <x v="8"/>
  </r>
  <r>
    <x v="0"/>
    <x v="0"/>
    <x v="0"/>
    <x v="9"/>
    <x v="9"/>
    <x v="9"/>
    <x v="9"/>
    <x v="9"/>
    <x v="9"/>
    <x v="9"/>
    <x v="9"/>
    <x v="9"/>
    <x v="9"/>
    <x v="4"/>
  </r>
  <r>
    <x v="0"/>
    <x v="0"/>
    <x v="0"/>
    <x v="10"/>
    <x v="10"/>
    <x v="10"/>
    <x v="10"/>
    <x v="10"/>
    <x v="10"/>
    <x v="10"/>
    <x v="10"/>
    <x v="10"/>
    <x v="10"/>
    <x v="1"/>
  </r>
  <r>
    <x v="0"/>
    <x v="0"/>
    <x v="0"/>
    <x v="11"/>
    <x v="11"/>
    <x v="11"/>
    <x v="11"/>
    <x v="11"/>
    <x v="11"/>
    <x v="11"/>
    <x v="11"/>
    <x v="11"/>
    <x v="11"/>
    <x v="4"/>
  </r>
  <r>
    <x v="0"/>
    <x v="0"/>
    <x v="0"/>
    <x v="12"/>
    <x v="12"/>
    <x v="12"/>
    <x v="12"/>
    <x v="12"/>
    <x v="12"/>
    <x v="12"/>
    <x v="12"/>
    <x v="12"/>
    <x v="12"/>
    <x v="1"/>
  </r>
  <r>
    <x v="0"/>
    <x v="0"/>
    <x v="0"/>
    <x v="13"/>
    <x v="13"/>
    <x v="13"/>
    <x v="13"/>
    <x v="13"/>
    <x v="13"/>
    <x v="13"/>
    <x v="13"/>
    <x v="13"/>
    <x v="13"/>
    <x v="1"/>
  </r>
  <r>
    <x v="0"/>
    <x v="0"/>
    <x v="0"/>
    <x v="14"/>
    <x v="14"/>
    <x v="14"/>
    <x v="14"/>
    <x v="14"/>
    <x v="14"/>
    <x v="14"/>
    <x v="14"/>
    <x v="14"/>
    <x v="14"/>
    <x v="1"/>
  </r>
  <r>
    <x v="0"/>
    <x v="0"/>
    <x v="0"/>
    <x v="15"/>
    <x v="15"/>
    <x v="15"/>
    <x v="15"/>
    <x v="15"/>
    <x v="15"/>
    <x v="15"/>
    <x v="15"/>
    <x v="15"/>
    <x v="15"/>
    <x v="7"/>
  </r>
  <r>
    <x v="0"/>
    <x v="0"/>
    <x v="0"/>
    <x v="16"/>
    <x v="16"/>
    <x v="16"/>
    <x v="16"/>
    <x v="16"/>
    <x v="16"/>
    <x v="16"/>
    <x v="16"/>
    <x v="16"/>
    <x v="16"/>
    <x v="9"/>
  </r>
  <r>
    <x v="0"/>
    <x v="0"/>
    <x v="0"/>
    <x v="17"/>
    <x v="17"/>
    <x v="17"/>
    <x v="17"/>
    <x v="17"/>
    <x v="17"/>
    <x v="17"/>
    <x v="17"/>
    <x v="17"/>
    <x v="17"/>
    <x v="1"/>
  </r>
  <r>
    <x v="0"/>
    <x v="0"/>
    <x v="0"/>
    <x v="18"/>
    <x v="18"/>
    <x v="18"/>
    <x v="18"/>
    <x v="18"/>
    <x v="18"/>
    <x v="18"/>
    <x v="18"/>
    <x v="18"/>
    <x v="18"/>
    <x v="10"/>
  </r>
  <r>
    <x v="0"/>
    <x v="0"/>
    <x v="0"/>
    <x v="19"/>
    <x v="19"/>
    <x v="19"/>
    <x v="19"/>
    <x v="19"/>
    <x v="19"/>
    <x v="19"/>
    <x v="19"/>
    <x v="19"/>
    <x v="19"/>
    <x v="1"/>
  </r>
  <r>
    <x v="0"/>
    <x v="1"/>
    <x v="1"/>
    <x v="0"/>
    <x v="0"/>
    <x v="0"/>
    <x v="0"/>
    <x v="20"/>
    <x v="20"/>
    <x v="20"/>
    <x v="20"/>
    <x v="20"/>
    <x v="20"/>
    <x v="1"/>
  </r>
  <r>
    <x v="0"/>
    <x v="1"/>
    <x v="1"/>
    <x v="2"/>
    <x v="2"/>
    <x v="2"/>
    <x v="1"/>
    <x v="21"/>
    <x v="21"/>
    <x v="21"/>
    <x v="21"/>
    <x v="21"/>
    <x v="21"/>
    <x v="11"/>
  </r>
  <r>
    <x v="0"/>
    <x v="1"/>
    <x v="1"/>
    <x v="1"/>
    <x v="1"/>
    <x v="1"/>
    <x v="2"/>
    <x v="22"/>
    <x v="22"/>
    <x v="22"/>
    <x v="22"/>
    <x v="22"/>
    <x v="22"/>
    <x v="1"/>
  </r>
  <r>
    <x v="0"/>
    <x v="1"/>
    <x v="1"/>
    <x v="3"/>
    <x v="3"/>
    <x v="3"/>
    <x v="3"/>
    <x v="23"/>
    <x v="23"/>
    <x v="23"/>
    <x v="23"/>
    <x v="23"/>
    <x v="23"/>
    <x v="10"/>
  </r>
  <r>
    <x v="0"/>
    <x v="1"/>
    <x v="1"/>
    <x v="7"/>
    <x v="7"/>
    <x v="7"/>
    <x v="4"/>
    <x v="24"/>
    <x v="24"/>
    <x v="24"/>
    <x v="24"/>
    <x v="24"/>
    <x v="24"/>
    <x v="12"/>
  </r>
  <r>
    <x v="0"/>
    <x v="1"/>
    <x v="1"/>
    <x v="5"/>
    <x v="5"/>
    <x v="5"/>
    <x v="5"/>
    <x v="25"/>
    <x v="25"/>
    <x v="25"/>
    <x v="25"/>
    <x v="25"/>
    <x v="25"/>
    <x v="8"/>
  </r>
  <r>
    <x v="0"/>
    <x v="1"/>
    <x v="1"/>
    <x v="4"/>
    <x v="4"/>
    <x v="4"/>
    <x v="6"/>
    <x v="26"/>
    <x v="26"/>
    <x v="26"/>
    <x v="26"/>
    <x v="26"/>
    <x v="26"/>
    <x v="4"/>
  </r>
  <r>
    <x v="0"/>
    <x v="1"/>
    <x v="1"/>
    <x v="11"/>
    <x v="11"/>
    <x v="11"/>
    <x v="7"/>
    <x v="27"/>
    <x v="27"/>
    <x v="27"/>
    <x v="27"/>
    <x v="27"/>
    <x v="27"/>
    <x v="1"/>
  </r>
  <r>
    <x v="0"/>
    <x v="1"/>
    <x v="1"/>
    <x v="6"/>
    <x v="6"/>
    <x v="6"/>
    <x v="8"/>
    <x v="28"/>
    <x v="28"/>
    <x v="28"/>
    <x v="28"/>
    <x v="28"/>
    <x v="28"/>
    <x v="3"/>
  </r>
  <r>
    <x v="0"/>
    <x v="1"/>
    <x v="1"/>
    <x v="8"/>
    <x v="8"/>
    <x v="8"/>
    <x v="9"/>
    <x v="29"/>
    <x v="29"/>
    <x v="29"/>
    <x v="29"/>
    <x v="29"/>
    <x v="29"/>
    <x v="4"/>
  </r>
  <r>
    <x v="0"/>
    <x v="1"/>
    <x v="1"/>
    <x v="10"/>
    <x v="10"/>
    <x v="10"/>
    <x v="10"/>
    <x v="30"/>
    <x v="30"/>
    <x v="30"/>
    <x v="30"/>
    <x v="30"/>
    <x v="30"/>
    <x v="1"/>
  </r>
  <r>
    <x v="0"/>
    <x v="1"/>
    <x v="1"/>
    <x v="9"/>
    <x v="9"/>
    <x v="9"/>
    <x v="11"/>
    <x v="31"/>
    <x v="31"/>
    <x v="31"/>
    <x v="31"/>
    <x v="31"/>
    <x v="31"/>
    <x v="4"/>
  </r>
  <r>
    <x v="0"/>
    <x v="1"/>
    <x v="1"/>
    <x v="14"/>
    <x v="14"/>
    <x v="14"/>
    <x v="12"/>
    <x v="32"/>
    <x v="32"/>
    <x v="32"/>
    <x v="32"/>
    <x v="32"/>
    <x v="32"/>
    <x v="1"/>
  </r>
  <r>
    <x v="0"/>
    <x v="1"/>
    <x v="1"/>
    <x v="13"/>
    <x v="13"/>
    <x v="13"/>
    <x v="13"/>
    <x v="33"/>
    <x v="33"/>
    <x v="33"/>
    <x v="33"/>
    <x v="33"/>
    <x v="33"/>
    <x v="1"/>
  </r>
  <r>
    <x v="0"/>
    <x v="1"/>
    <x v="1"/>
    <x v="12"/>
    <x v="12"/>
    <x v="12"/>
    <x v="14"/>
    <x v="34"/>
    <x v="34"/>
    <x v="34"/>
    <x v="34"/>
    <x v="34"/>
    <x v="34"/>
    <x v="1"/>
  </r>
  <r>
    <x v="0"/>
    <x v="1"/>
    <x v="1"/>
    <x v="19"/>
    <x v="19"/>
    <x v="19"/>
    <x v="15"/>
    <x v="35"/>
    <x v="35"/>
    <x v="35"/>
    <x v="35"/>
    <x v="35"/>
    <x v="35"/>
    <x v="1"/>
  </r>
  <r>
    <x v="0"/>
    <x v="1"/>
    <x v="1"/>
    <x v="16"/>
    <x v="16"/>
    <x v="16"/>
    <x v="16"/>
    <x v="36"/>
    <x v="36"/>
    <x v="36"/>
    <x v="36"/>
    <x v="36"/>
    <x v="36"/>
    <x v="8"/>
  </r>
  <r>
    <x v="0"/>
    <x v="1"/>
    <x v="1"/>
    <x v="15"/>
    <x v="15"/>
    <x v="15"/>
    <x v="17"/>
    <x v="37"/>
    <x v="37"/>
    <x v="37"/>
    <x v="37"/>
    <x v="37"/>
    <x v="37"/>
    <x v="13"/>
  </r>
  <r>
    <x v="0"/>
    <x v="1"/>
    <x v="1"/>
    <x v="20"/>
    <x v="20"/>
    <x v="20"/>
    <x v="18"/>
    <x v="38"/>
    <x v="38"/>
    <x v="38"/>
    <x v="35"/>
    <x v="38"/>
    <x v="38"/>
    <x v="11"/>
  </r>
  <r>
    <x v="0"/>
    <x v="1"/>
    <x v="1"/>
    <x v="18"/>
    <x v="18"/>
    <x v="18"/>
    <x v="19"/>
    <x v="39"/>
    <x v="39"/>
    <x v="39"/>
    <x v="18"/>
    <x v="39"/>
    <x v="39"/>
    <x v="4"/>
  </r>
  <r>
    <x v="0"/>
    <x v="2"/>
    <x v="2"/>
    <x v="0"/>
    <x v="0"/>
    <x v="0"/>
    <x v="0"/>
    <x v="40"/>
    <x v="40"/>
    <x v="40"/>
    <x v="38"/>
    <x v="40"/>
    <x v="7"/>
    <x v="1"/>
  </r>
  <r>
    <x v="0"/>
    <x v="2"/>
    <x v="2"/>
    <x v="2"/>
    <x v="2"/>
    <x v="2"/>
    <x v="1"/>
    <x v="41"/>
    <x v="41"/>
    <x v="38"/>
    <x v="11"/>
    <x v="41"/>
    <x v="40"/>
    <x v="1"/>
  </r>
  <r>
    <x v="0"/>
    <x v="2"/>
    <x v="2"/>
    <x v="1"/>
    <x v="1"/>
    <x v="1"/>
    <x v="2"/>
    <x v="42"/>
    <x v="42"/>
    <x v="41"/>
    <x v="39"/>
    <x v="42"/>
    <x v="41"/>
    <x v="1"/>
  </r>
  <r>
    <x v="0"/>
    <x v="2"/>
    <x v="2"/>
    <x v="6"/>
    <x v="6"/>
    <x v="6"/>
    <x v="3"/>
    <x v="43"/>
    <x v="43"/>
    <x v="42"/>
    <x v="40"/>
    <x v="43"/>
    <x v="42"/>
    <x v="10"/>
  </r>
  <r>
    <x v="0"/>
    <x v="2"/>
    <x v="2"/>
    <x v="3"/>
    <x v="3"/>
    <x v="3"/>
    <x v="4"/>
    <x v="44"/>
    <x v="44"/>
    <x v="43"/>
    <x v="41"/>
    <x v="44"/>
    <x v="43"/>
    <x v="4"/>
  </r>
  <r>
    <x v="0"/>
    <x v="2"/>
    <x v="2"/>
    <x v="7"/>
    <x v="7"/>
    <x v="7"/>
    <x v="5"/>
    <x v="45"/>
    <x v="45"/>
    <x v="44"/>
    <x v="42"/>
    <x v="45"/>
    <x v="44"/>
    <x v="1"/>
  </r>
  <r>
    <x v="0"/>
    <x v="2"/>
    <x v="2"/>
    <x v="8"/>
    <x v="8"/>
    <x v="8"/>
    <x v="6"/>
    <x v="46"/>
    <x v="46"/>
    <x v="45"/>
    <x v="43"/>
    <x v="46"/>
    <x v="45"/>
    <x v="1"/>
  </r>
  <r>
    <x v="0"/>
    <x v="2"/>
    <x v="2"/>
    <x v="5"/>
    <x v="5"/>
    <x v="5"/>
    <x v="7"/>
    <x v="47"/>
    <x v="47"/>
    <x v="46"/>
    <x v="44"/>
    <x v="47"/>
    <x v="46"/>
    <x v="1"/>
  </r>
  <r>
    <x v="0"/>
    <x v="2"/>
    <x v="2"/>
    <x v="4"/>
    <x v="4"/>
    <x v="4"/>
    <x v="8"/>
    <x v="48"/>
    <x v="48"/>
    <x v="47"/>
    <x v="45"/>
    <x v="48"/>
    <x v="47"/>
    <x v="1"/>
  </r>
  <r>
    <x v="0"/>
    <x v="2"/>
    <x v="2"/>
    <x v="11"/>
    <x v="11"/>
    <x v="11"/>
    <x v="9"/>
    <x v="49"/>
    <x v="49"/>
    <x v="48"/>
    <x v="46"/>
    <x v="49"/>
    <x v="48"/>
    <x v="1"/>
  </r>
  <r>
    <x v="0"/>
    <x v="2"/>
    <x v="2"/>
    <x v="14"/>
    <x v="14"/>
    <x v="14"/>
    <x v="10"/>
    <x v="50"/>
    <x v="50"/>
    <x v="49"/>
    <x v="26"/>
    <x v="50"/>
    <x v="49"/>
    <x v="1"/>
  </r>
  <r>
    <x v="0"/>
    <x v="2"/>
    <x v="2"/>
    <x v="13"/>
    <x v="13"/>
    <x v="13"/>
    <x v="11"/>
    <x v="51"/>
    <x v="51"/>
    <x v="15"/>
    <x v="47"/>
    <x v="51"/>
    <x v="37"/>
    <x v="1"/>
  </r>
  <r>
    <x v="0"/>
    <x v="2"/>
    <x v="2"/>
    <x v="9"/>
    <x v="9"/>
    <x v="9"/>
    <x v="12"/>
    <x v="52"/>
    <x v="52"/>
    <x v="50"/>
    <x v="48"/>
    <x v="52"/>
    <x v="50"/>
    <x v="1"/>
  </r>
  <r>
    <x v="0"/>
    <x v="2"/>
    <x v="2"/>
    <x v="12"/>
    <x v="12"/>
    <x v="12"/>
    <x v="13"/>
    <x v="53"/>
    <x v="13"/>
    <x v="51"/>
    <x v="49"/>
    <x v="53"/>
    <x v="51"/>
    <x v="1"/>
  </r>
  <r>
    <x v="0"/>
    <x v="2"/>
    <x v="2"/>
    <x v="10"/>
    <x v="10"/>
    <x v="10"/>
    <x v="14"/>
    <x v="54"/>
    <x v="53"/>
    <x v="52"/>
    <x v="50"/>
    <x v="40"/>
    <x v="7"/>
    <x v="1"/>
  </r>
  <r>
    <x v="0"/>
    <x v="2"/>
    <x v="2"/>
    <x v="20"/>
    <x v="20"/>
    <x v="20"/>
    <x v="14"/>
    <x v="54"/>
    <x v="53"/>
    <x v="53"/>
    <x v="51"/>
    <x v="54"/>
    <x v="52"/>
    <x v="1"/>
  </r>
  <r>
    <x v="0"/>
    <x v="2"/>
    <x v="2"/>
    <x v="16"/>
    <x v="16"/>
    <x v="16"/>
    <x v="16"/>
    <x v="55"/>
    <x v="54"/>
    <x v="53"/>
    <x v="51"/>
    <x v="51"/>
    <x v="37"/>
    <x v="8"/>
  </r>
  <r>
    <x v="0"/>
    <x v="2"/>
    <x v="2"/>
    <x v="21"/>
    <x v="21"/>
    <x v="21"/>
    <x v="17"/>
    <x v="56"/>
    <x v="55"/>
    <x v="54"/>
    <x v="52"/>
    <x v="55"/>
    <x v="53"/>
    <x v="1"/>
  </r>
  <r>
    <x v="0"/>
    <x v="2"/>
    <x v="2"/>
    <x v="18"/>
    <x v="18"/>
    <x v="18"/>
    <x v="18"/>
    <x v="57"/>
    <x v="56"/>
    <x v="55"/>
    <x v="53"/>
    <x v="56"/>
    <x v="54"/>
    <x v="1"/>
  </r>
  <r>
    <x v="0"/>
    <x v="2"/>
    <x v="2"/>
    <x v="15"/>
    <x v="15"/>
    <x v="15"/>
    <x v="19"/>
    <x v="58"/>
    <x v="57"/>
    <x v="56"/>
    <x v="54"/>
    <x v="57"/>
    <x v="55"/>
    <x v="1"/>
  </r>
  <r>
    <x v="0"/>
    <x v="3"/>
    <x v="3"/>
    <x v="0"/>
    <x v="0"/>
    <x v="0"/>
    <x v="0"/>
    <x v="59"/>
    <x v="58"/>
    <x v="57"/>
    <x v="55"/>
    <x v="58"/>
    <x v="56"/>
    <x v="1"/>
  </r>
  <r>
    <x v="0"/>
    <x v="3"/>
    <x v="3"/>
    <x v="1"/>
    <x v="1"/>
    <x v="1"/>
    <x v="1"/>
    <x v="60"/>
    <x v="59"/>
    <x v="58"/>
    <x v="56"/>
    <x v="57"/>
    <x v="14"/>
    <x v="1"/>
  </r>
  <r>
    <x v="0"/>
    <x v="3"/>
    <x v="3"/>
    <x v="2"/>
    <x v="2"/>
    <x v="2"/>
    <x v="2"/>
    <x v="61"/>
    <x v="60"/>
    <x v="59"/>
    <x v="57"/>
    <x v="59"/>
    <x v="57"/>
    <x v="1"/>
  </r>
  <r>
    <x v="0"/>
    <x v="3"/>
    <x v="3"/>
    <x v="5"/>
    <x v="5"/>
    <x v="5"/>
    <x v="3"/>
    <x v="62"/>
    <x v="61"/>
    <x v="60"/>
    <x v="58"/>
    <x v="60"/>
    <x v="24"/>
    <x v="1"/>
  </r>
  <r>
    <x v="0"/>
    <x v="3"/>
    <x v="3"/>
    <x v="3"/>
    <x v="3"/>
    <x v="3"/>
    <x v="4"/>
    <x v="47"/>
    <x v="62"/>
    <x v="43"/>
    <x v="59"/>
    <x v="61"/>
    <x v="58"/>
    <x v="1"/>
  </r>
  <r>
    <x v="0"/>
    <x v="3"/>
    <x v="3"/>
    <x v="8"/>
    <x v="8"/>
    <x v="8"/>
    <x v="5"/>
    <x v="63"/>
    <x v="63"/>
    <x v="61"/>
    <x v="60"/>
    <x v="62"/>
    <x v="59"/>
    <x v="1"/>
  </r>
  <r>
    <x v="0"/>
    <x v="3"/>
    <x v="3"/>
    <x v="6"/>
    <x v="6"/>
    <x v="6"/>
    <x v="6"/>
    <x v="64"/>
    <x v="64"/>
    <x v="44"/>
    <x v="61"/>
    <x v="63"/>
    <x v="60"/>
    <x v="1"/>
  </r>
  <r>
    <x v="0"/>
    <x v="3"/>
    <x v="3"/>
    <x v="4"/>
    <x v="4"/>
    <x v="4"/>
    <x v="7"/>
    <x v="65"/>
    <x v="65"/>
    <x v="62"/>
    <x v="31"/>
    <x v="64"/>
    <x v="61"/>
    <x v="1"/>
  </r>
  <r>
    <x v="0"/>
    <x v="3"/>
    <x v="3"/>
    <x v="14"/>
    <x v="14"/>
    <x v="14"/>
    <x v="8"/>
    <x v="66"/>
    <x v="66"/>
    <x v="63"/>
    <x v="62"/>
    <x v="65"/>
    <x v="62"/>
    <x v="1"/>
  </r>
  <r>
    <x v="0"/>
    <x v="3"/>
    <x v="3"/>
    <x v="10"/>
    <x v="10"/>
    <x v="10"/>
    <x v="9"/>
    <x v="52"/>
    <x v="67"/>
    <x v="47"/>
    <x v="63"/>
    <x v="50"/>
    <x v="63"/>
    <x v="1"/>
  </r>
  <r>
    <x v="0"/>
    <x v="3"/>
    <x v="3"/>
    <x v="7"/>
    <x v="7"/>
    <x v="7"/>
    <x v="10"/>
    <x v="67"/>
    <x v="68"/>
    <x v="64"/>
    <x v="64"/>
    <x v="66"/>
    <x v="64"/>
    <x v="1"/>
  </r>
  <r>
    <x v="0"/>
    <x v="3"/>
    <x v="3"/>
    <x v="11"/>
    <x v="11"/>
    <x v="11"/>
    <x v="11"/>
    <x v="68"/>
    <x v="69"/>
    <x v="65"/>
    <x v="65"/>
    <x v="67"/>
    <x v="65"/>
    <x v="1"/>
  </r>
  <r>
    <x v="0"/>
    <x v="3"/>
    <x v="3"/>
    <x v="9"/>
    <x v="9"/>
    <x v="9"/>
    <x v="12"/>
    <x v="69"/>
    <x v="70"/>
    <x v="66"/>
    <x v="66"/>
    <x v="63"/>
    <x v="60"/>
    <x v="1"/>
  </r>
  <r>
    <x v="0"/>
    <x v="3"/>
    <x v="3"/>
    <x v="12"/>
    <x v="12"/>
    <x v="12"/>
    <x v="12"/>
    <x v="69"/>
    <x v="70"/>
    <x v="67"/>
    <x v="67"/>
    <x v="68"/>
    <x v="66"/>
    <x v="1"/>
  </r>
  <r>
    <x v="0"/>
    <x v="3"/>
    <x v="3"/>
    <x v="13"/>
    <x v="13"/>
    <x v="13"/>
    <x v="14"/>
    <x v="70"/>
    <x v="71"/>
    <x v="68"/>
    <x v="13"/>
    <x v="69"/>
    <x v="67"/>
    <x v="1"/>
  </r>
  <r>
    <x v="0"/>
    <x v="3"/>
    <x v="3"/>
    <x v="16"/>
    <x v="16"/>
    <x v="16"/>
    <x v="15"/>
    <x v="71"/>
    <x v="35"/>
    <x v="63"/>
    <x v="62"/>
    <x v="70"/>
    <x v="7"/>
    <x v="1"/>
  </r>
  <r>
    <x v="0"/>
    <x v="3"/>
    <x v="3"/>
    <x v="20"/>
    <x v="20"/>
    <x v="20"/>
    <x v="15"/>
    <x v="71"/>
    <x v="35"/>
    <x v="53"/>
    <x v="68"/>
    <x v="71"/>
    <x v="68"/>
    <x v="1"/>
  </r>
  <r>
    <x v="0"/>
    <x v="3"/>
    <x v="3"/>
    <x v="15"/>
    <x v="15"/>
    <x v="15"/>
    <x v="17"/>
    <x v="72"/>
    <x v="72"/>
    <x v="69"/>
    <x v="69"/>
    <x v="72"/>
    <x v="25"/>
    <x v="1"/>
  </r>
  <r>
    <x v="0"/>
    <x v="3"/>
    <x v="3"/>
    <x v="18"/>
    <x v="18"/>
    <x v="18"/>
    <x v="18"/>
    <x v="73"/>
    <x v="73"/>
    <x v="62"/>
    <x v="31"/>
    <x v="73"/>
    <x v="69"/>
    <x v="1"/>
  </r>
  <r>
    <x v="0"/>
    <x v="3"/>
    <x v="3"/>
    <x v="19"/>
    <x v="19"/>
    <x v="19"/>
    <x v="19"/>
    <x v="74"/>
    <x v="74"/>
    <x v="70"/>
    <x v="70"/>
    <x v="74"/>
    <x v="70"/>
    <x v="1"/>
  </r>
  <r>
    <x v="0"/>
    <x v="4"/>
    <x v="4"/>
    <x v="0"/>
    <x v="0"/>
    <x v="0"/>
    <x v="0"/>
    <x v="75"/>
    <x v="75"/>
    <x v="71"/>
    <x v="71"/>
    <x v="75"/>
    <x v="33"/>
    <x v="1"/>
  </r>
  <r>
    <x v="0"/>
    <x v="4"/>
    <x v="4"/>
    <x v="2"/>
    <x v="2"/>
    <x v="2"/>
    <x v="1"/>
    <x v="76"/>
    <x v="76"/>
    <x v="72"/>
    <x v="72"/>
    <x v="76"/>
    <x v="71"/>
    <x v="4"/>
  </r>
  <r>
    <x v="0"/>
    <x v="4"/>
    <x v="4"/>
    <x v="1"/>
    <x v="1"/>
    <x v="1"/>
    <x v="2"/>
    <x v="77"/>
    <x v="77"/>
    <x v="73"/>
    <x v="73"/>
    <x v="77"/>
    <x v="72"/>
    <x v="1"/>
  </r>
  <r>
    <x v="0"/>
    <x v="4"/>
    <x v="4"/>
    <x v="5"/>
    <x v="5"/>
    <x v="5"/>
    <x v="3"/>
    <x v="78"/>
    <x v="78"/>
    <x v="39"/>
    <x v="74"/>
    <x v="78"/>
    <x v="73"/>
    <x v="1"/>
  </r>
  <r>
    <x v="0"/>
    <x v="4"/>
    <x v="4"/>
    <x v="3"/>
    <x v="3"/>
    <x v="3"/>
    <x v="4"/>
    <x v="79"/>
    <x v="79"/>
    <x v="74"/>
    <x v="75"/>
    <x v="79"/>
    <x v="74"/>
    <x v="1"/>
  </r>
  <r>
    <x v="0"/>
    <x v="4"/>
    <x v="4"/>
    <x v="4"/>
    <x v="4"/>
    <x v="4"/>
    <x v="5"/>
    <x v="80"/>
    <x v="80"/>
    <x v="75"/>
    <x v="76"/>
    <x v="80"/>
    <x v="75"/>
    <x v="1"/>
  </r>
  <r>
    <x v="0"/>
    <x v="4"/>
    <x v="4"/>
    <x v="10"/>
    <x v="10"/>
    <x v="10"/>
    <x v="6"/>
    <x v="81"/>
    <x v="81"/>
    <x v="62"/>
    <x v="66"/>
    <x v="42"/>
    <x v="76"/>
    <x v="1"/>
  </r>
  <r>
    <x v="0"/>
    <x v="4"/>
    <x v="4"/>
    <x v="8"/>
    <x v="8"/>
    <x v="8"/>
    <x v="6"/>
    <x v="81"/>
    <x v="81"/>
    <x v="76"/>
    <x v="77"/>
    <x v="81"/>
    <x v="77"/>
    <x v="1"/>
  </r>
  <r>
    <x v="0"/>
    <x v="4"/>
    <x v="4"/>
    <x v="11"/>
    <x v="11"/>
    <x v="11"/>
    <x v="8"/>
    <x v="82"/>
    <x v="12"/>
    <x v="77"/>
    <x v="78"/>
    <x v="56"/>
    <x v="78"/>
    <x v="1"/>
  </r>
  <r>
    <x v="0"/>
    <x v="4"/>
    <x v="4"/>
    <x v="9"/>
    <x v="9"/>
    <x v="9"/>
    <x v="9"/>
    <x v="83"/>
    <x v="82"/>
    <x v="78"/>
    <x v="79"/>
    <x v="82"/>
    <x v="79"/>
    <x v="1"/>
  </r>
  <r>
    <x v="0"/>
    <x v="4"/>
    <x v="4"/>
    <x v="7"/>
    <x v="7"/>
    <x v="7"/>
    <x v="10"/>
    <x v="84"/>
    <x v="83"/>
    <x v="44"/>
    <x v="80"/>
    <x v="73"/>
    <x v="80"/>
    <x v="1"/>
  </r>
  <r>
    <x v="0"/>
    <x v="4"/>
    <x v="4"/>
    <x v="19"/>
    <x v="19"/>
    <x v="19"/>
    <x v="11"/>
    <x v="85"/>
    <x v="70"/>
    <x v="54"/>
    <x v="81"/>
    <x v="83"/>
    <x v="81"/>
    <x v="1"/>
  </r>
  <r>
    <x v="0"/>
    <x v="4"/>
    <x v="4"/>
    <x v="12"/>
    <x v="12"/>
    <x v="12"/>
    <x v="12"/>
    <x v="86"/>
    <x v="34"/>
    <x v="79"/>
    <x v="82"/>
    <x v="46"/>
    <x v="82"/>
    <x v="1"/>
  </r>
  <r>
    <x v="0"/>
    <x v="4"/>
    <x v="4"/>
    <x v="21"/>
    <x v="21"/>
    <x v="21"/>
    <x v="13"/>
    <x v="87"/>
    <x v="84"/>
    <x v="80"/>
    <x v="83"/>
    <x v="61"/>
    <x v="83"/>
    <x v="1"/>
  </r>
  <r>
    <x v="0"/>
    <x v="4"/>
    <x v="4"/>
    <x v="14"/>
    <x v="14"/>
    <x v="14"/>
    <x v="14"/>
    <x v="88"/>
    <x v="85"/>
    <x v="54"/>
    <x v="81"/>
    <x v="61"/>
    <x v="83"/>
    <x v="1"/>
  </r>
  <r>
    <x v="0"/>
    <x v="4"/>
    <x v="4"/>
    <x v="6"/>
    <x v="6"/>
    <x v="6"/>
    <x v="15"/>
    <x v="70"/>
    <x v="86"/>
    <x v="81"/>
    <x v="84"/>
    <x v="84"/>
    <x v="84"/>
    <x v="4"/>
  </r>
  <r>
    <x v="0"/>
    <x v="4"/>
    <x v="4"/>
    <x v="22"/>
    <x v="22"/>
    <x v="22"/>
    <x v="16"/>
    <x v="57"/>
    <x v="87"/>
    <x v="47"/>
    <x v="85"/>
    <x v="53"/>
    <x v="85"/>
    <x v="1"/>
  </r>
  <r>
    <x v="0"/>
    <x v="4"/>
    <x v="4"/>
    <x v="16"/>
    <x v="16"/>
    <x v="16"/>
    <x v="17"/>
    <x v="89"/>
    <x v="38"/>
    <x v="62"/>
    <x v="66"/>
    <x v="58"/>
    <x v="86"/>
    <x v="1"/>
  </r>
  <r>
    <x v="0"/>
    <x v="4"/>
    <x v="4"/>
    <x v="13"/>
    <x v="13"/>
    <x v="13"/>
    <x v="18"/>
    <x v="58"/>
    <x v="88"/>
    <x v="68"/>
    <x v="86"/>
    <x v="85"/>
    <x v="34"/>
    <x v="1"/>
  </r>
  <r>
    <x v="0"/>
    <x v="4"/>
    <x v="4"/>
    <x v="23"/>
    <x v="23"/>
    <x v="23"/>
    <x v="19"/>
    <x v="90"/>
    <x v="16"/>
    <x v="82"/>
    <x v="87"/>
    <x v="86"/>
    <x v="87"/>
    <x v="1"/>
  </r>
  <r>
    <x v="0"/>
    <x v="4"/>
    <x v="4"/>
    <x v="15"/>
    <x v="15"/>
    <x v="15"/>
    <x v="19"/>
    <x v="90"/>
    <x v="16"/>
    <x v="69"/>
    <x v="15"/>
    <x v="75"/>
    <x v="33"/>
    <x v="1"/>
  </r>
  <r>
    <x v="0"/>
    <x v="5"/>
    <x v="5"/>
    <x v="0"/>
    <x v="0"/>
    <x v="0"/>
    <x v="0"/>
    <x v="91"/>
    <x v="89"/>
    <x v="83"/>
    <x v="88"/>
    <x v="68"/>
    <x v="88"/>
    <x v="1"/>
  </r>
  <r>
    <x v="0"/>
    <x v="5"/>
    <x v="5"/>
    <x v="1"/>
    <x v="1"/>
    <x v="1"/>
    <x v="1"/>
    <x v="92"/>
    <x v="90"/>
    <x v="84"/>
    <x v="89"/>
    <x v="87"/>
    <x v="17"/>
    <x v="1"/>
  </r>
  <r>
    <x v="0"/>
    <x v="5"/>
    <x v="5"/>
    <x v="2"/>
    <x v="2"/>
    <x v="2"/>
    <x v="2"/>
    <x v="93"/>
    <x v="91"/>
    <x v="85"/>
    <x v="90"/>
    <x v="88"/>
    <x v="89"/>
    <x v="1"/>
  </r>
  <r>
    <x v="0"/>
    <x v="5"/>
    <x v="5"/>
    <x v="5"/>
    <x v="5"/>
    <x v="5"/>
    <x v="3"/>
    <x v="94"/>
    <x v="92"/>
    <x v="86"/>
    <x v="91"/>
    <x v="71"/>
    <x v="90"/>
    <x v="1"/>
  </r>
  <r>
    <x v="0"/>
    <x v="5"/>
    <x v="5"/>
    <x v="3"/>
    <x v="3"/>
    <x v="3"/>
    <x v="4"/>
    <x v="95"/>
    <x v="93"/>
    <x v="87"/>
    <x v="92"/>
    <x v="89"/>
    <x v="91"/>
    <x v="1"/>
  </r>
  <r>
    <x v="0"/>
    <x v="5"/>
    <x v="5"/>
    <x v="24"/>
    <x v="24"/>
    <x v="24"/>
    <x v="5"/>
    <x v="96"/>
    <x v="94"/>
    <x v="88"/>
    <x v="93"/>
    <x v="90"/>
    <x v="19"/>
    <x v="1"/>
  </r>
  <r>
    <x v="0"/>
    <x v="5"/>
    <x v="5"/>
    <x v="8"/>
    <x v="8"/>
    <x v="8"/>
    <x v="6"/>
    <x v="97"/>
    <x v="95"/>
    <x v="89"/>
    <x v="94"/>
    <x v="81"/>
    <x v="92"/>
    <x v="1"/>
  </r>
  <r>
    <x v="0"/>
    <x v="5"/>
    <x v="5"/>
    <x v="25"/>
    <x v="25"/>
    <x v="25"/>
    <x v="7"/>
    <x v="81"/>
    <x v="96"/>
    <x v="90"/>
    <x v="95"/>
    <x v="91"/>
    <x v="93"/>
    <x v="1"/>
  </r>
  <r>
    <x v="0"/>
    <x v="5"/>
    <x v="5"/>
    <x v="9"/>
    <x v="9"/>
    <x v="9"/>
    <x v="8"/>
    <x v="51"/>
    <x v="97"/>
    <x v="67"/>
    <x v="96"/>
    <x v="92"/>
    <x v="43"/>
    <x v="1"/>
  </r>
  <r>
    <x v="0"/>
    <x v="5"/>
    <x v="5"/>
    <x v="26"/>
    <x v="26"/>
    <x v="26"/>
    <x v="9"/>
    <x v="98"/>
    <x v="98"/>
    <x v="91"/>
    <x v="97"/>
    <x v="93"/>
    <x v="94"/>
    <x v="1"/>
  </r>
  <r>
    <x v="0"/>
    <x v="5"/>
    <x v="5"/>
    <x v="4"/>
    <x v="4"/>
    <x v="4"/>
    <x v="10"/>
    <x v="99"/>
    <x v="99"/>
    <x v="82"/>
    <x v="98"/>
    <x v="89"/>
    <x v="91"/>
    <x v="1"/>
  </r>
  <r>
    <x v="0"/>
    <x v="5"/>
    <x v="5"/>
    <x v="10"/>
    <x v="10"/>
    <x v="10"/>
    <x v="11"/>
    <x v="100"/>
    <x v="100"/>
    <x v="92"/>
    <x v="99"/>
    <x v="92"/>
    <x v="43"/>
    <x v="1"/>
  </r>
  <r>
    <x v="0"/>
    <x v="5"/>
    <x v="5"/>
    <x v="17"/>
    <x v="17"/>
    <x v="17"/>
    <x v="12"/>
    <x v="67"/>
    <x v="101"/>
    <x v="51"/>
    <x v="100"/>
    <x v="63"/>
    <x v="42"/>
    <x v="1"/>
  </r>
  <r>
    <x v="0"/>
    <x v="5"/>
    <x v="5"/>
    <x v="12"/>
    <x v="12"/>
    <x v="12"/>
    <x v="13"/>
    <x v="53"/>
    <x v="102"/>
    <x v="81"/>
    <x v="67"/>
    <x v="94"/>
    <x v="95"/>
    <x v="1"/>
  </r>
  <r>
    <x v="0"/>
    <x v="5"/>
    <x v="5"/>
    <x v="11"/>
    <x v="11"/>
    <x v="11"/>
    <x v="14"/>
    <x v="87"/>
    <x v="103"/>
    <x v="35"/>
    <x v="34"/>
    <x v="68"/>
    <x v="88"/>
    <x v="1"/>
  </r>
  <r>
    <x v="0"/>
    <x v="5"/>
    <x v="5"/>
    <x v="7"/>
    <x v="7"/>
    <x v="7"/>
    <x v="15"/>
    <x v="101"/>
    <x v="104"/>
    <x v="93"/>
    <x v="101"/>
    <x v="85"/>
    <x v="96"/>
    <x v="1"/>
  </r>
  <r>
    <x v="0"/>
    <x v="5"/>
    <x v="5"/>
    <x v="22"/>
    <x v="22"/>
    <x v="22"/>
    <x v="16"/>
    <x v="102"/>
    <x v="105"/>
    <x v="94"/>
    <x v="26"/>
    <x v="95"/>
    <x v="97"/>
    <x v="1"/>
  </r>
  <r>
    <x v="0"/>
    <x v="5"/>
    <x v="5"/>
    <x v="15"/>
    <x v="15"/>
    <x v="15"/>
    <x v="17"/>
    <x v="56"/>
    <x v="84"/>
    <x v="69"/>
    <x v="15"/>
    <x v="96"/>
    <x v="98"/>
    <x v="1"/>
  </r>
  <r>
    <x v="0"/>
    <x v="5"/>
    <x v="5"/>
    <x v="6"/>
    <x v="6"/>
    <x v="6"/>
    <x v="18"/>
    <x v="57"/>
    <x v="106"/>
    <x v="81"/>
    <x v="67"/>
    <x v="97"/>
    <x v="99"/>
    <x v="8"/>
  </r>
  <r>
    <x v="0"/>
    <x v="5"/>
    <x v="5"/>
    <x v="14"/>
    <x v="14"/>
    <x v="14"/>
    <x v="19"/>
    <x v="103"/>
    <x v="107"/>
    <x v="52"/>
    <x v="102"/>
    <x v="71"/>
    <x v="90"/>
    <x v="1"/>
  </r>
  <r>
    <x v="0"/>
    <x v="6"/>
    <x v="6"/>
    <x v="0"/>
    <x v="0"/>
    <x v="0"/>
    <x v="0"/>
    <x v="104"/>
    <x v="108"/>
    <x v="95"/>
    <x v="103"/>
    <x v="94"/>
    <x v="13"/>
    <x v="1"/>
  </r>
  <r>
    <x v="0"/>
    <x v="6"/>
    <x v="6"/>
    <x v="2"/>
    <x v="2"/>
    <x v="2"/>
    <x v="1"/>
    <x v="105"/>
    <x v="109"/>
    <x v="48"/>
    <x v="104"/>
    <x v="98"/>
    <x v="100"/>
    <x v="1"/>
  </r>
  <r>
    <x v="0"/>
    <x v="6"/>
    <x v="6"/>
    <x v="1"/>
    <x v="1"/>
    <x v="1"/>
    <x v="2"/>
    <x v="106"/>
    <x v="110"/>
    <x v="96"/>
    <x v="105"/>
    <x v="99"/>
    <x v="101"/>
    <x v="1"/>
  </r>
  <r>
    <x v="0"/>
    <x v="6"/>
    <x v="6"/>
    <x v="5"/>
    <x v="5"/>
    <x v="5"/>
    <x v="3"/>
    <x v="107"/>
    <x v="111"/>
    <x v="97"/>
    <x v="106"/>
    <x v="75"/>
    <x v="102"/>
    <x v="1"/>
  </r>
  <r>
    <x v="0"/>
    <x v="6"/>
    <x v="6"/>
    <x v="3"/>
    <x v="3"/>
    <x v="3"/>
    <x v="4"/>
    <x v="108"/>
    <x v="112"/>
    <x v="98"/>
    <x v="107"/>
    <x v="49"/>
    <x v="103"/>
    <x v="1"/>
  </r>
  <r>
    <x v="0"/>
    <x v="6"/>
    <x v="6"/>
    <x v="4"/>
    <x v="4"/>
    <x v="4"/>
    <x v="5"/>
    <x v="84"/>
    <x v="113"/>
    <x v="62"/>
    <x v="108"/>
    <x v="100"/>
    <x v="104"/>
    <x v="1"/>
  </r>
  <r>
    <x v="0"/>
    <x v="6"/>
    <x v="6"/>
    <x v="6"/>
    <x v="6"/>
    <x v="6"/>
    <x v="6"/>
    <x v="109"/>
    <x v="114"/>
    <x v="97"/>
    <x v="106"/>
    <x v="73"/>
    <x v="105"/>
    <x v="4"/>
  </r>
  <r>
    <x v="0"/>
    <x v="6"/>
    <x v="6"/>
    <x v="8"/>
    <x v="8"/>
    <x v="8"/>
    <x v="7"/>
    <x v="110"/>
    <x v="115"/>
    <x v="36"/>
    <x v="109"/>
    <x v="101"/>
    <x v="106"/>
    <x v="1"/>
  </r>
  <r>
    <x v="0"/>
    <x v="6"/>
    <x v="6"/>
    <x v="10"/>
    <x v="10"/>
    <x v="10"/>
    <x v="8"/>
    <x v="111"/>
    <x v="116"/>
    <x v="94"/>
    <x v="110"/>
    <x v="55"/>
    <x v="107"/>
    <x v="1"/>
  </r>
  <r>
    <x v="0"/>
    <x v="6"/>
    <x v="6"/>
    <x v="7"/>
    <x v="7"/>
    <x v="7"/>
    <x v="8"/>
    <x v="111"/>
    <x v="116"/>
    <x v="99"/>
    <x v="111"/>
    <x v="66"/>
    <x v="97"/>
    <x v="1"/>
  </r>
  <r>
    <x v="0"/>
    <x v="6"/>
    <x v="6"/>
    <x v="11"/>
    <x v="11"/>
    <x v="11"/>
    <x v="10"/>
    <x v="88"/>
    <x v="117"/>
    <x v="100"/>
    <x v="112"/>
    <x v="102"/>
    <x v="68"/>
    <x v="1"/>
  </r>
  <r>
    <x v="0"/>
    <x v="6"/>
    <x v="6"/>
    <x v="14"/>
    <x v="14"/>
    <x v="14"/>
    <x v="11"/>
    <x v="102"/>
    <x v="118"/>
    <x v="37"/>
    <x v="113"/>
    <x v="55"/>
    <x v="107"/>
    <x v="1"/>
  </r>
  <r>
    <x v="0"/>
    <x v="6"/>
    <x v="6"/>
    <x v="9"/>
    <x v="9"/>
    <x v="9"/>
    <x v="12"/>
    <x v="89"/>
    <x v="119"/>
    <x v="37"/>
    <x v="113"/>
    <x v="103"/>
    <x v="108"/>
    <x v="1"/>
  </r>
  <r>
    <x v="0"/>
    <x v="6"/>
    <x v="6"/>
    <x v="13"/>
    <x v="13"/>
    <x v="13"/>
    <x v="12"/>
    <x v="89"/>
    <x v="119"/>
    <x v="92"/>
    <x v="114"/>
    <x v="86"/>
    <x v="109"/>
    <x v="1"/>
  </r>
  <r>
    <x v="0"/>
    <x v="6"/>
    <x v="6"/>
    <x v="15"/>
    <x v="15"/>
    <x v="15"/>
    <x v="14"/>
    <x v="103"/>
    <x v="120"/>
    <x v="56"/>
    <x v="68"/>
    <x v="55"/>
    <x v="107"/>
    <x v="1"/>
  </r>
  <r>
    <x v="0"/>
    <x v="6"/>
    <x v="6"/>
    <x v="12"/>
    <x v="12"/>
    <x v="12"/>
    <x v="15"/>
    <x v="112"/>
    <x v="105"/>
    <x v="101"/>
    <x v="115"/>
    <x v="104"/>
    <x v="110"/>
    <x v="1"/>
  </r>
  <r>
    <x v="0"/>
    <x v="6"/>
    <x v="6"/>
    <x v="24"/>
    <x v="24"/>
    <x v="24"/>
    <x v="16"/>
    <x v="113"/>
    <x v="121"/>
    <x v="75"/>
    <x v="34"/>
    <x v="97"/>
    <x v="111"/>
    <x v="1"/>
  </r>
  <r>
    <x v="0"/>
    <x v="6"/>
    <x v="6"/>
    <x v="27"/>
    <x v="27"/>
    <x v="27"/>
    <x v="17"/>
    <x v="114"/>
    <x v="122"/>
    <x v="102"/>
    <x v="116"/>
    <x v="73"/>
    <x v="105"/>
    <x v="1"/>
  </r>
  <r>
    <x v="0"/>
    <x v="6"/>
    <x v="6"/>
    <x v="16"/>
    <x v="16"/>
    <x v="16"/>
    <x v="18"/>
    <x v="115"/>
    <x v="123"/>
    <x v="53"/>
    <x v="117"/>
    <x v="73"/>
    <x v="105"/>
    <x v="1"/>
  </r>
  <r>
    <x v="0"/>
    <x v="6"/>
    <x v="6"/>
    <x v="22"/>
    <x v="22"/>
    <x v="22"/>
    <x v="19"/>
    <x v="116"/>
    <x v="124"/>
    <x v="103"/>
    <x v="118"/>
    <x v="46"/>
    <x v="112"/>
    <x v="1"/>
  </r>
  <r>
    <x v="0"/>
    <x v="7"/>
    <x v="7"/>
    <x v="1"/>
    <x v="1"/>
    <x v="1"/>
    <x v="0"/>
    <x v="117"/>
    <x v="125"/>
    <x v="104"/>
    <x v="119"/>
    <x v="105"/>
    <x v="113"/>
    <x v="1"/>
  </r>
  <r>
    <x v="0"/>
    <x v="7"/>
    <x v="7"/>
    <x v="2"/>
    <x v="2"/>
    <x v="2"/>
    <x v="1"/>
    <x v="118"/>
    <x v="126"/>
    <x v="105"/>
    <x v="120"/>
    <x v="106"/>
    <x v="114"/>
    <x v="8"/>
  </r>
  <r>
    <x v="0"/>
    <x v="7"/>
    <x v="7"/>
    <x v="0"/>
    <x v="0"/>
    <x v="0"/>
    <x v="2"/>
    <x v="119"/>
    <x v="127"/>
    <x v="106"/>
    <x v="121"/>
    <x v="74"/>
    <x v="115"/>
    <x v="1"/>
  </r>
  <r>
    <x v="0"/>
    <x v="7"/>
    <x v="7"/>
    <x v="3"/>
    <x v="3"/>
    <x v="3"/>
    <x v="3"/>
    <x v="120"/>
    <x v="128"/>
    <x v="44"/>
    <x v="122"/>
    <x v="107"/>
    <x v="116"/>
    <x v="1"/>
  </r>
  <r>
    <x v="0"/>
    <x v="7"/>
    <x v="7"/>
    <x v="6"/>
    <x v="6"/>
    <x v="6"/>
    <x v="3"/>
    <x v="120"/>
    <x v="128"/>
    <x v="107"/>
    <x v="123"/>
    <x v="103"/>
    <x v="50"/>
    <x v="4"/>
  </r>
  <r>
    <x v="0"/>
    <x v="7"/>
    <x v="7"/>
    <x v="4"/>
    <x v="4"/>
    <x v="4"/>
    <x v="5"/>
    <x v="121"/>
    <x v="129"/>
    <x v="49"/>
    <x v="124"/>
    <x v="108"/>
    <x v="117"/>
    <x v="1"/>
  </r>
  <r>
    <x v="0"/>
    <x v="7"/>
    <x v="7"/>
    <x v="5"/>
    <x v="5"/>
    <x v="5"/>
    <x v="5"/>
    <x v="121"/>
    <x v="129"/>
    <x v="108"/>
    <x v="125"/>
    <x v="95"/>
    <x v="118"/>
    <x v="1"/>
  </r>
  <r>
    <x v="0"/>
    <x v="7"/>
    <x v="7"/>
    <x v="11"/>
    <x v="11"/>
    <x v="11"/>
    <x v="7"/>
    <x v="65"/>
    <x v="130"/>
    <x v="35"/>
    <x v="126"/>
    <x v="109"/>
    <x v="119"/>
    <x v="1"/>
  </r>
  <r>
    <x v="0"/>
    <x v="7"/>
    <x v="7"/>
    <x v="8"/>
    <x v="8"/>
    <x v="8"/>
    <x v="7"/>
    <x v="65"/>
    <x v="130"/>
    <x v="109"/>
    <x v="127"/>
    <x v="110"/>
    <x v="110"/>
    <x v="1"/>
  </r>
  <r>
    <x v="0"/>
    <x v="7"/>
    <x v="7"/>
    <x v="12"/>
    <x v="12"/>
    <x v="12"/>
    <x v="9"/>
    <x v="122"/>
    <x v="131"/>
    <x v="35"/>
    <x v="126"/>
    <x v="74"/>
    <x v="115"/>
    <x v="1"/>
  </r>
  <r>
    <x v="0"/>
    <x v="7"/>
    <x v="7"/>
    <x v="10"/>
    <x v="10"/>
    <x v="10"/>
    <x v="10"/>
    <x v="54"/>
    <x v="81"/>
    <x v="82"/>
    <x v="128"/>
    <x v="96"/>
    <x v="120"/>
    <x v="1"/>
  </r>
  <r>
    <x v="0"/>
    <x v="7"/>
    <x v="7"/>
    <x v="7"/>
    <x v="7"/>
    <x v="7"/>
    <x v="10"/>
    <x v="54"/>
    <x v="81"/>
    <x v="64"/>
    <x v="129"/>
    <x v="74"/>
    <x v="115"/>
    <x v="1"/>
  </r>
  <r>
    <x v="0"/>
    <x v="7"/>
    <x v="7"/>
    <x v="15"/>
    <x v="15"/>
    <x v="15"/>
    <x v="10"/>
    <x v="54"/>
    <x v="81"/>
    <x v="69"/>
    <x v="130"/>
    <x v="111"/>
    <x v="121"/>
    <x v="1"/>
  </r>
  <r>
    <x v="0"/>
    <x v="7"/>
    <x v="7"/>
    <x v="9"/>
    <x v="9"/>
    <x v="9"/>
    <x v="13"/>
    <x v="111"/>
    <x v="12"/>
    <x v="110"/>
    <x v="131"/>
    <x v="112"/>
    <x v="122"/>
    <x v="1"/>
  </r>
  <r>
    <x v="0"/>
    <x v="7"/>
    <x v="7"/>
    <x v="14"/>
    <x v="14"/>
    <x v="14"/>
    <x v="14"/>
    <x v="123"/>
    <x v="132"/>
    <x v="54"/>
    <x v="50"/>
    <x v="47"/>
    <x v="123"/>
    <x v="1"/>
  </r>
  <r>
    <x v="0"/>
    <x v="7"/>
    <x v="7"/>
    <x v="13"/>
    <x v="13"/>
    <x v="13"/>
    <x v="15"/>
    <x v="90"/>
    <x v="133"/>
    <x v="62"/>
    <x v="132"/>
    <x v="90"/>
    <x v="124"/>
    <x v="1"/>
  </r>
  <r>
    <x v="0"/>
    <x v="7"/>
    <x v="7"/>
    <x v="20"/>
    <x v="20"/>
    <x v="20"/>
    <x v="16"/>
    <x v="124"/>
    <x v="134"/>
    <x v="56"/>
    <x v="133"/>
    <x v="85"/>
    <x v="125"/>
    <x v="1"/>
  </r>
  <r>
    <x v="0"/>
    <x v="7"/>
    <x v="7"/>
    <x v="18"/>
    <x v="18"/>
    <x v="18"/>
    <x v="17"/>
    <x v="125"/>
    <x v="135"/>
    <x v="82"/>
    <x v="128"/>
    <x v="113"/>
    <x v="126"/>
    <x v="1"/>
  </r>
  <r>
    <x v="0"/>
    <x v="7"/>
    <x v="7"/>
    <x v="28"/>
    <x v="28"/>
    <x v="28"/>
    <x v="18"/>
    <x v="116"/>
    <x v="136"/>
    <x v="69"/>
    <x v="130"/>
    <x v="68"/>
    <x v="127"/>
    <x v="1"/>
  </r>
  <r>
    <x v="0"/>
    <x v="7"/>
    <x v="7"/>
    <x v="27"/>
    <x v="27"/>
    <x v="27"/>
    <x v="19"/>
    <x v="126"/>
    <x v="137"/>
    <x v="102"/>
    <x v="134"/>
    <x v="62"/>
    <x v="18"/>
    <x v="1"/>
  </r>
  <r>
    <x v="0"/>
    <x v="8"/>
    <x v="8"/>
    <x v="1"/>
    <x v="1"/>
    <x v="1"/>
    <x v="0"/>
    <x v="127"/>
    <x v="138"/>
    <x v="111"/>
    <x v="135"/>
    <x v="92"/>
    <x v="128"/>
    <x v="1"/>
  </r>
  <r>
    <x v="0"/>
    <x v="8"/>
    <x v="8"/>
    <x v="2"/>
    <x v="2"/>
    <x v="2"/>
    <x v="1"/>
    <x v="128"/>
    <x v="139"/>
    <x v="79"/>
    <x v="136"/>
    <x v="114"/>
    <x v="129"/>
    <x v="1"/>
  </r>
  <r>
    <x v="0"/>
    <x v="8"/>
    <x v="8"/>
    <x v="0"/>
    <x v="0"/>
    <x v="0"/>
    <x v="2"/>
    <x v="129"/>
    <x v="140"/>
    <x v="112"/>
    <x v="137"/>
    <x v="46"/>
    <x v="130"/>
    <x v="1"/>
  </r>
  <r>
    <x v="0"/>
    <x v="8"/>
    <x v="8"/>
    <x v="6"/>
    <x v="6"/>
    <x v="6"/>
    <x v="3"/>
    <x v="130"/>
    <x v="141"/>
    <x v="113"/>
    <x v="138"/>
    <x v="102"/>
    <x v="131"/>
    <x v="4"/>
  </r>
  <r>
    <x v="0"/>
    <x v="8"/>
    <x v="8"/>
    <x v="4"/>
    <x v="4"/>
    <x v="4"/>
    <x v="4"/>
    <x v="47"/>
    <x v="142"/>
    <x v="55"/>
    <x v="139"/>
    <x v="115"/>
    <x v="132"/>
    <x v="1"/>
  </r>
  <r>
    <x v="0"/>
    <x v="8"/>
    <x v="8"/>
    <x v="3"/>
    <x v="3"/>
    <x v="3"/>
    <x v="5"/>
    <x v="131"/>
    <x v="143"/>
    <x v="114"/>
    <x v="140"/>
    <x v="116"/>
    <x v="133"/>
    <x v="1"/>
  </r>
  <r>
    <x v="0"/>
    <x v="8"/>
    <x v="8"/>
    <x v="8"/>
    <x v="8"/>
    <x v="8"/>
    <x v="6"/>
    <x v="132"/>
    <x v="144"/>
    <x v="43"/>
    <x v="141"/>
    <x v="113"/>
    <x v="134"/>
    <x v="1"/>
  </r>
  <r>
    <x v="0"/>
    <x v="8"/>
    <x v="8"/>
    <x v="5"/>
    <x v="5"/>
    <x v="5"/>
    <x v="7"/>
    <x v="133"/>
    <x v="145"/>
    <x v="115"/>
    <x v="142"/>
    <x v="71"/>
    <x v="109"/>
    <x v="4"/>
  </r>
  <r>
    <x v="0"/>
    <x v="8"/>
    <x v="8"/>
    <x v="9"/>
    <x v="9"/>
    <x v="9"/>
    <x v="8"/>
    <x v="84"/>
    <x v="146"/>
    <x v="68"/>
    <x v="143"/>
    <x v="111"/>
    <x v="135"/>
    <x v="1"/>
  </r>
  <r>
    <x v="0"/>
    <x v="8"/>
    <x v="8"/>
    <x v="11"/>
    <x v="11"/>
    <x v="11"/>
    <x v="9"/>
    <x v="134"/>
    <x v="147"/>
    <x v="94"/>
    <x v="144"/>
    <x v="83"/>
    <x v="136"/>
    <x v="1"/>
  </r>
  <r>
    <x v="0"/>
    <x v="8"/>
    <x v="8"/>
    <x v="10"/>
    <x v="10"/>
    <x v="10"/>
    <x v="10"/>
    <x v="135"/>
    <x v="116"/>
    <x v="62"/>
    <x v="145"/>
    <x v="117"/>
    <x v="137"/>
    <x v="1"/>
  </r>
  <r>
    <x v="0"/>
    <x v="8"/>
    <x v="8"/>
    <x v="12"/>
    <x v="12"/>
    <x v="12"/>
    <x v="11"/>
    <x v="136"/>
    <x v="148"/>
    <x v="64"/>
    <x v="146"/>
    <x v="103"/>
    <x v="138"/>
    <x v="1"/>
  </r>
  <r>
    <x v="0"/>
    <x v="8"/>
    <x v="8"/>
    <x v="7"/>
    <x v="7"/>
    <x v="7"/>
    <x v="12"/>
    <x v="55"/>
    <x v="149"/>
    <x v="50"/>
    <x v="147"/>
    <x v="95"/>
    <x v="139"/>
    <x v="1"/>
  </r>
  <r>
    <x v="0"/>
    <x v="8"/>
    <x v="8"/>
    <x v="13"/>
    <x v="13"/>
    <x v="13"/>
    <x v="13"/>
    <x v="137"/>
    <x v="31"/>
    <x v="110"/>
    <x v="148"/>
    <x v="95"/>
    <x v="139"/>
    <x v="1"/>
  </r>
  <r>
    <x v="0"/>
    <x v="8"/>
    <x v="8"/>
    <x v="15"/>
    <x v="15"/>
    <x v="15"/>
    <x v="14"/>
    <x v="138"/>
    <x v="150"/>
    <x v="103"/>
    <x v="149"/>
    <x v="78"/>
    <x v="140"/>
    <x v="1"/>
  </r>
  <r>
    <x v="0"/>
    <x v="8"/>
    <x v="8"/>
    <x v="18"/>
    <x v="18"/>
    <x v="18"/>
    <x v="15"/>
    <x v="139"/>
    <x v="71"/>
    <x v="62"/>
    <x v="145"/>
    <x v="69"/>
    <x v="141"/>
    <x v="1"/>
  </r>
  <r>
    <x v="0"/>
    <x v="8"/>
    <x v="8"/>
    <x v="16"/>
    <x v="16"/>
    <x v="16"/>
    <x v="16"/>
    <x v="140"/>
    <x v="151"/>
    <x v="70"/>
    <x v="150"/>
    <x v="58"/>
    <x v="142"/>
    <x v="1"/>
  </r>
  <r>
    <x v="0"/>
    <x v="8"/>
    <x v="8"/>
    <x v="20"/>
    <x v="20"/>
    <x v="20"/>
    <x v="17"/>
    <x v="141"/>
    <x v="152"/>
    <x v="116"/>
    <x v="151"/>
    <x v="77"/>
    <x v="143"/>
    <x v="4"/>
  </r>
  <r>
    <x v="0"/>
    <x v="8"/>
    <x v="8"/>
    <x v="14"/>
    <x v="14"/>
    <x v="14"/>
    <x v="18"/>
    <x v="142"/>
    <x v="123"/>
    <x v="54"/>
    <x v="152"/>
    <x v="73"/>
    <x v="144"/>
    <x v="1"/>
  </r>
  <r>
    <x v="0"/>
    <x v="8"/>
    <x v="8"/>
    <x v="22"/>
    <x v="22"/>
    <x v="22"/>
    <x v="19"/>
    <x v="124"/>
    <x v="124"/>
    <x v="70"/>
    <x v="150"/>
    <x v="67"/>
    <x v="145"/>
    <x v="1"/>
  </r>
  <r>
    <x v="0"/>
    <x v="9"/>
    <x v="9"/>
    <x v="0"/>
    <x v="0"/>
    <x v="0"/>
    <x v="0"/>
    <x v="143"/>
    <x v="153"/>
    <x v="117"/>
    <x v="153"/>
    <x v="118"/>
    <x v="146"/>
    <x v="1"/>
  </r>
  <r>
    <x v="0"/>
    <x v="9"/>
    <x v="9"/>
    <x v="7"/>
    <x v="7"/>
    <x v="7"/>
    <x v="1"/>
    <x v="144"/>
    <x v="154"/>
    <x v="118"/>
    <x v="154"/>
    <x v="119"/>
    <x v="147"/>
    <x v="12"/>
  </r>
  <r>
    <x v="0"/>
    <x v="9"/>
    <x v="9"/>
    <x v="2"/>
    <x v="2"/>
    <x v="2"/>
    <x v="2"/>
    <x v="145"/>
    <x v="155"/>
    <x v="119"/>
    <x v="155"/>
    <x v="120"/>
    <x v="148"/>
    <x v="13"/>
  </r>
  <r>
    <x v="0"/>
    <x v="9"/>
    <x v="9"/>
    <x v="3"/>
    <x v="3"/>
    <x v="3"/>
    <x v="3"/>
    <x v="146"/>
    <x v="128"/>
    <x v="120"/>
    <x v="156"/>
    <x v="121"/>
    <x v="149"/>
    <x v="8"/>
  </r>
  <r>
    <x v="0"/>
    <x v="9"/>
    <x v="9"/>
    <x v="11"/>
    <x v="11"/>
    <x v="11"/>
    <x v="4"/>
    <x v="147"/>
    <x v="156"/>
    <x v="121"/>
    <x v="157"/>
    <x v="122"/>
    <x v="150"/>
    <x v="1"/>
  </r>
  <r>
    <x v="0"/>
    <x v="9"/>
    <x v="9"/>
    <x v="1"/>
    <x v="1"/>
    <x v="1"/>
    <x v="5"/>
    <x v="148"/>
    <x v="157"/>
    <x v="122"/>
    <x v="158"/>
    <x v="115"/>
    <x v="19"/>
    <x v="1"/>
  </r>
  <r>
    <x v="0"/>
    <x v="9"/>
    <x v="9"/>
    <x v="5"/>
    <x v="5"/>
    <x v="5"/>
    <x v="6"/>
    <x v="60"/>
    <x v="11"/>
    <x v="123"/>
    <x v="159"/>
    <x v="123"/>
    <x v="151"/>
    <x v="1"/>
  </r>
  <r>
    <x v="0"/>
    <x v="9"/>
    <x v="9"/>
    <x v="13"/>
    <x v="13"/>
    <x v="13"/>
    <x v="7"/>
    <x v="149"/>
    <x v="68"/>
    <x v="114"/>
    <x v="33"/>
    <x v="59"/>
    <x v="140"/>
    <x v="1"/>
  </r>
  <r>
    <x v="0"/>
    <x v="9"/>
    <x v="9"/>
    <x v="8"/>
    <x v="8"/>
    <x v="8"/>
    <x v="8"/>
    <x v="150"/>
    <x v="158"/>
    <x v="124"/>
    <x v="160"/>
    <x v="93"/>
    <x v="152"/>
    <x v="4"/>
  </r>
  <r>
    <x v="0"/>
    <x v="9"/>
    <x v="9"/>
    <x v="14"/>
    <x v="14"/>
    <x v="14"/>
    <x v="9"/>
    <x v="151"/>
    <x v="119"/>
    <x v="68"/>
    <x v="161"/>
    <x v="124"/>
    <x v="153"/>
    <x v="1"/>
  </r>
  <r>
    <x v="0"/>
    <x v="9"/>
    <x v="9"/>
    <x v="6"/>
    <x v="6"/>
    <x v="6"/>
    <x v="10"/>
    <x v="152"/>
    <x v="120"/>
    <x v="125"/>
    <x v="162"/>
    <x v="125"/>
    <x v="154"/>
    <x v="8"/>
  </r>
  <r>
    <x v="0"/>
    <x v="9"/>
    <x v="9"/>
    <x v="16"/>
    <x v="16"/>
    <x v="16"/>
    <x v="11"/>
    <x v="153"/>
    <x v="159"/>
    <x v="92"/>
    <x v="83"/>
    <x v="126"/>
    <x v="155"/>
    <x v="1"/>
  </r>
  <r>
    <x v="0"/>
    <x v="9"/>
    <x v="9"/>
    <x v="4"/>
    <x v="4"/>
    <x v="4"/>
    <x v="12"/>
    <x v="154"/>
    <x v="160"/>
    <x v="102"/>
    <x v="163"/>
    <x v="59"/>
    <x v="140"/>
    <x v="4"/>
  </r>
  <r>
    <x v="0"/>
    <x v="9"/>
    <x v="9"/>
    <x v="19"/>
    <x v="19"/>
    <x v="19"/>
    <x v="13"/>
    <x v="155"/>
    <x v="161"/>
    <x v="126"/>
    <x v="164"/>
    <x v="126"/>
    <x v="155"/>
    <x v="1"/>
  </r>
  <r>
    <x v="0"/>
    <x v="9"/>
    <x v="9"/>
    <x v="20"/>
    <x v="20"/>
    <x v="20"/>
    <x v="14"/>
    <x v="156"/>
    <x v="13"/>
    <x v="82"/>
    <x v="117"/>
    <x v="127"/>
    <x v="156"/>
    <x v="10"/>
  </r>
  <r>
    <x v="0"/>
    <x v="9"/>
    <x v="9"/>
    <x v="18"/>
    <x v="18"/>
    <x v="18"/>
    <x v="15"/>
    <x v="157"/>
    <x v="73"/>
    <x v="127"/>
    <x v="86"/>
    <x v="64"/>
    <x v="157"/>
    <x v="1"/>
  </r>
  <r>
    <x v="0"/>
    <x v="9"/>
    <x v="9"/>
    <x v="21"/>
    <x v="21"/>
    <x v="21"/>
    <x v="16"/>
    <x v="158"/>
    <x v="162"/>
    <x v="62"/>
    <x v="165"/>
    <x v="128"/>
    <x v="12"/>
    <x v="1"/>
  </r>
  <r>
    <x v="0"/>
    <x v="9"/>
    <x v="9"/>
    <x v="10"/>
    <x v="10"/>
    <x v="10"/>
    <x v="17"/>
    <x v="159"/>
    <x v="57"/>
    <x v="63"/>
    <x v="118"/>
    <x v="129"/>
    <x v="6"/>
    <x v="1"/>
  </r>
  <r>
    <x v="0"/>
    <x v="9"/>
    <x v="9"/>
    <x v="22"/>
    <x v="22"/>
    <x v="22"/>
    <x v="18"/>
    <x v="97"/>
    <x v="163"/>
    <x v="102"/>
    <x v="163"/>
    <x v="130"/>
    <x v="158"/>
    <x v="1"/>
  </r>
  <r>
    <x v="0"/>
    <x v="9"/>
    <x v="9"/>
    <x v="9"/>
    <x v="9"/>
    <x v="9"/>
    <x v="19"/>
    <x v="81"/>
    <x v="164"/>
    <x v="47"/>
    <x v="166"/>
    <x v="64"/>
    <x v="157"/>
    <x v="4"/>
  </r>
  <r>
    <x v="0"/>
    <x v="9"/>
    <x v="9"/>
    <x v="29"/>
    <x v="29"/>
    <x v="29"/>
    <x v="19"/>
    <x v="81"/>
    <x v="164"/>
    <x v="126"/>
    <x v="164"/>
    <x v="131"/>
    <x v="159"/>
    <x v="1"/>
  </r>
  <r>
    <x v="0"/>
    <x v="10"/>
    <x v="10"/>
    <x v="2"/>
    <x v="2"/>
    <x v="2"/>
    <x v="0"/>
    <x v="160"/>
    <x v="165"/>
    <x v="128"/>
    <x v="167"/>
    <x v="132"/>
    <x v="160"/>
    <x v="1"/>
  </r>
  <r>
    <x v="0"/>
    <x v="10"/>
    <x v="10"/>
    <x v="4"/>
    <x v="4"/>
    <x v="4"/>
    <x v="1"/>
    <x v="161"/>
    <x v="166"/>
    <x v="99"/>
    <x v="168"/>
    <x v="133"/>
    <x v="161"/>
    <x v="1"/>
  </r>
  <r>
    <x v="0"/>
    <x v="10"/>
    <x v="10"/>
    <x v="1"/>
    <x v="1"/>
    <x v="1"/>
    <x v="2"/>
    <x v="156"/>
    <x v="167"/>
    <x v="129"/>
    <x v="169"/>
    <x v="53"/>
    <x v="55"/>
    <x v="1"/>
  </r>
  <r>
    <x v="0"/>
    <x v="10"/>
    <x v="10"/>
    <x v="9"/>
    <x v="9"/>
    <x v="9"/>
    <x v="3"/>
    <x v="162"/>
    <x v="94"/>
    <x v="101"/>
    <x v="162"/>
    <x v="134"/>
    <x v="162"/>
    <x v="1"/>
  </r>
  <r>
    <x v="0"/>
    <x v="10"/>
    <x v="10"/>
    <x v="3"/>
    <x v="3"/>
    <x v="3"/>
    <x v="4"/>
    <x v="121"/>
    <x v="168"/>
    <x v="130"/>
    <x v="104"/>
    <x v="100"/>
    <x v="163"/>
    <x v="1"/>
  </r>
  <r>
    <x v="0"/>
    <x v="10"/>
    <x v="10"/>
    <x v="10"/>
    <x v="10"/>
    <x v="10"/>
    <x v="5"/>
    <x v="163"/>
    <x v="169"/>
    <x v="94"/>
    <x v="170"/>
    <x v="135"/>
    <x v="164"/>
    <x v="1"/>
  </r>
  <r>
    <x v="0"/>
    <x v="10"/>
    <x v="10"/>
    <x v="0"/>
    <x v="0"/>
    <x v="0"/>
    <x v="6"/>
    <x v="48"/>
    <x v="170"/>
    <x v="131"/>
    <x v="171"/>
    <x v="46"/>
    <x v="165"/>
    <x v="1"/>
  </r>
  <r>
    <x v="0"/>
    <x v="10"/>
    <x v="10"/>
    <x v="6"/>
    <x v="6"/>
    <x v="6"/>
    <x v="7"/>
    <x v="164"/>
    <x v="171"/>
    <x v="36"/>
    <x v="172"/>
    <x v="70"/>
    <x v="166"/>
    <x v="1"/>
  </r>
  <r>
    <x v="0"/>
    <x v="10"/>
    <x v="10"/>
    <x v="12"/>
    <x v="12"/>
    <x v="12"/>
    <x v="8"/>
    <x v="49"/>
    <x v="65"/>
    <x v="115"/>
    <x v="173"/>
    <x v="60"/>
    <x v="151"/>
    <x v="1"/>
  </r>
  <r>
    <x v="0"/>
    <x v="10"/>
    <x v="10"/>
    <x v="8"/>
    <x v="8"/>
    <x v="8"/>
    <x v="9"/>
    <x v="165"/>
    <x v="172"/>
    <x v="132"/>
    <x v="174"/>
    <x v="62"/>
    <x v="167"/>
    <x v="1"/>
  </r>
  <r>
    <x v="0"/>
    <x v="10"/>
    <x v="10"/>
    <x v="5"/>
    <x v="5"/>
    <x v="5"/>
    <x v="10"/>
    <x v="99"/>
    <x v="173"/>
    <x v="79"/>
    <x v="42"/>
    <x v="102"/>
    <x v="168"/>
    <x v="4"/>
  </r>
  <r>
    <x v="0"/>
    <x v="10"/>
    <x v="10"/>
    <x v="17"/>
    <x v="17"/>
    <x v="17"/>
    <x v="11"/>
    <x v="166"/>
    <x v="30"/>
    <x v="133"/>
    <x v="175"/>
    <x v="112"/>
    <x v="36"/>
    <x v="1"/>
  </r>
  <r>
    <x v="0"/>
    <x v="10"/>
    <x v="10"/>
    <x v="30"/>
    <x v="30"/>
    <x v="30"/>
    <x v="12"/>
    <x v="122"/>
    <x v="174"/>
    <x v="127"/>
    <x v="95"/>
    <x v="67"/>
    <x v="169"/>
    <x v="1"/>
  </r>
  <r>
    <x v="0"/>
    <x v="10"/>
    <x v="10"/>
    <x v="13"/>
    <x v="13"/>
    <x v="13"/>
    <x v="13"/>
    <x v="54"/>
    <x v="175"/>
    <x v="68"/>
    <x v="176"/>
    <x v="105"/>
    <x v="48"/>
    <x v="1"/>
  </r>
  <r>
    <x v="0"/>
    <x v="10"/>
    <x v="10"/>
    <x v="22"/>
    <x v="22"/>
    <x v="22"/>
    <x v="14"/>
    <x v="86"/>
    <x v="176"/>
    <x v="54"/>
    <x v="177"/>
    <x v="51"/>
    <x v="170"/>
    <x v="1"/>
  </r>
  <r>
    <x v="0"/>
    <x v="10"/>
    <x v="10"/>
    <x v="19"/>
    <x v="19"/>
    <x v="19"/>
    <x v="15"/>
    <x v="123"/>
    <x v="177"/>
    <x v="54"/>
    <x v="177"/>
    <x v="47"/>
    <x v="171"/>
    <x v="1"/>
  </r>
  <r>
    <x v="0"/>
    <x v="10"/>
    <x v="10"/>
    <x v="7"/>
    <x v="7"/>
    <x v="7"/>
    <x v="16"/>
    <x v="87"/>
    <x v="178"/>
    <x v="55"/>
    <x v="178"/>
    <x v="103"/>
    <x v="172"/>
    <x v="1"/>
  </r>
  <r>
    <x v="0"/>
    <x v="10"/>
    <x v="10"/>
    <x v="15"/>
    <x v="15"/>
    <x v="15"/>
    <x v="17"/>
    <x v="167"/>
    <x v="105"/>
    <x v="103"/>
    <x v="179"/>
    <x v="92"/>
    <x v="173"/>
    <x v="1"/>
  </r>
  <r>
    <x v="0"/>
    <x v="10"/>
    <x v="10"/>
    <x v="26"/>
    <x v="26"/>
    <x v="26"/>
    <x v="18"/>
    <x v="57"/>
    <x v="179"/>
    <x v="47"/>
    <x v="113"/>
    <x v="53"/>
    <x v="55"/>
    <x v="1"/>
  </r>
  <r>
    <x v="0"/>
    <x v="10"/>
    <x v="10"/>
    <x v="18"/>
    <x v="18"/>
    <x v="18"/>
    <x v="19"/>
    <x v="112"/>
    <x v="180"/>
    <x v="62"/>
    <x v="180"/>
    <x v="94"/>
    <x v="174"/>
    <x v="1"/>
  </r>
  <r>
    <x v="0"/>
    <x v="10"/>
    <x v="10"/>
    <x v="20"/>
    <x v="20"/>
    <x v="20"/>
    <x v="19"/>
    <x v="112"/>
    <x v="180"/>
    <x v="70"/>
    <x v="134"/>
    <x v="70"/>
    <x v="166"/>
    <x v="4"/>
  </r>
  <r>
    <x v="0"/>
    <x v="11"/>
    <x v="11"/>
    <x v="0"/>
    <x v="0"/>
    <x v="0"/>
    <x v="0"/>
    <x v="168"/>
    <x v="181"/>
    <x v="134"/>
    <x v="181"/>
    <x v="136"/>
    <x v="55"/>
    <x v="10"/>
  </r>
  <r>
    <x v="0"/>
    <x v="11"/>
    <x v="11"/>
    <x v="1"/>
    <x v="1"/>
    <x v="1"/>
    <x v="1"/>
    <x v="169"/>
    <x v="182"/>
    <x v="135"/>
    <x v="182"/>
    <x v="137"/>
    <x v="175"/>
    <x v="1"/>
  </r>
  <r>
    <x v="0"/>
    <x v="11"/>
    <x v="11"/>
    <x v="4"/>
    <x v="4"/>
    <x v="4"/>
    <x v="2"/>
    <x v="170"/>
    <x v="183"/>
    <x v="136"/>
    <x v="183"/>
    <x v="138"/>
    <x v="176"/>
    <x v="1"/>
  </r>
  <r>
    <x v="0"/>
    <x v="11"/>
    <x v="11"/>
    <x v="2"/>
    <x v="2"/>
    <x v="2"/>
    <x v="3"/>
    <x v="171"/>
    <x v="184"/>
    <x v="137"/>
    <x v="184"/>
    <x v="139"/>
    <x v="177"/>
    <x v="13"/>
  </r>
  <r>
    <x v="0"/>
    <x v="11"/>
    <x v="11"/>
    <x v="3"/>
    <x v="3"/>
    <x v="3"/>
    <x v="4"/>
    <x v="172"/>
    <x v="185"/>
    <x v="138"/>
    <x v="185"/>
    <x v="140"/>
    <x v="178"/>
    <x v="4"/>
  </r>
  <r>
    <x v="0"/>
    <x v="11"/>
    <x v="11"/>
    <x v="6"/>
    <x v="6"/>
    <x v="6"/>
    <x v="5"/>
    <x v="173"/>
    <x v="186"/>
    <x v="139"/>
    <x v="186"/>
    <x v="123"/>
    <x v="179"/>
    <x v="4"/>
  </r>
  <r>
    <x v="0"/>
    <x v="11"/>
    <x v="11"/>
    <x v="5"/>
    <x v="5"/>
    <x v="5"/>
    <x v="6"/>
    <x v="174"/>
    <x v="187"/>
    <x v="140"/>
    <x v="187"/>
    <x v="141"/>
    <x v="48"/>
    <x v="1"/>
  </r>
  <r>
    <x v="0"/>
    <x v="11"/>
    <x v="11"/>
    <x v="10"/>
    <x v="10"/>
    <x v="10"/>
    <x v="7"/>
    <x v="175"/>
    <x v="188"/>
    <x v="141"/>
    <x v="188"/>
    <x v="142"/>
    <x v="180"/>
    <x v="1"/>
  </r>
  <r>
    <x v="0"/>
    <x v="11"/>
    <x v="11"/>
    <x v="12"/>
    <x v="12"/>
    <x v="12"/>
    <x v="8"/>
    <x v="176"/>
    <x v="80"/>
    <x v="142"/>
    <x v="189"/>
    <x v="123"/>
    <x v="179"/>
    <x v="1"/>
  </r>
  <r>
    <x v="0"/>
    <x v="11"/>
    <x v="11"/>
    <x v="7"/>
    <x v="7"/>
    <x v="7"/>
    <x v="9"/>
    <x v="177"/>
    <x v="189"/>
    <x v="104"/>
    <x v="190"/>
    <x v="143"/>
    <x v="181"/>
    <x v="1"/>
  </r>
  <r>
    <x v="0"/>
    <x v="11"/>
    <x v="11"/>
    <x v="8"/>
    <x v="8"/>
    <x v="8"/>
    <x v="10"/>
    <x v="178"/>
    <x v="148"/>
    <x v="143"/>
    <x v="142"/>
    <x v="144"/>
    <x v="182"/>
    <x v="1"/>
  </r>
  <r>
    <x v="0"/>
    <x v="11"/>
    <x v="11"/>
    <x v="11"/>
    <x v="11"/>
    <x v="11"/>
    <x v="11"/>
    <x v="179"/>
    <x v="190"/>
    <x v="144"/>
    <x v="191"/>
    <x v="145"/>
    <x v="183"/>
    <x v="1"/>
  </r>
  <r>
    <x v="0"/>
    <x v="11"/>
    <x v="11"/>
    <x v="9"/>
    <x v="9"/>
    <x v="9"/>
    <x v="12"/>
    <x v="180"/>
    <x v="191"/>
    <x v="145"/>
    <x v="192"/>
    <x v="146"/>
    <x v="184"/>
    <x v="1"/>
  </r>
  <r>
    <x v="0"/>
    <x v="11"/>
    <x v="11"/>
    <x v="13"/>
    <x v="13"/>
    <x v="13"/>
    <x v="13"/>
    <x v="181"/>
    <x v="192"/>
    <x v="146"/>
    <x v="144"/>
    <x v="147"/>
    <x v="37"/>
    <x v="1"/>
  </r>
  <r>
    <x v="0"/>
    <x v="11"/>
    <x v="11"/>
    <x v="14"/>
    <x v="14"/>
    <x v="14"/>
    <x v="14"/>
    <x v="151"/>
    <x v="193"/>
    <x v="91"/>
    <x v="193"/>
    <x v="148"/>
    <x v="185"/>
    <x v="1"/>
  </r>
  <r>
    <x v="0"/>
    <x v="11"/>
    <x v="11"/>
    <x v="22"/>
    <x v="22"/>
    <x v="22"/>
    <x v="15"/>
    <x v="182"/>
    <x v="194"/>
    <x v="50"/>
    <x v="194"/>
    <x v="149"/>
    <x v="46"/>
    <x v="1"/>
  </r>
  <r>
    <x v="0"/>
    <x v="11"/>
    <x v="11"/>
    <x v="19"/>
    <x v="19"/>
    <x v="19"/>
    <x v="16"/>
    <x v="62"/>
    <x v="73"/>
    <x v="68"/>
    <x v="195"/>
    <x v="150"/>
    <x v="186"/>
    <x v="1"/>
  </r>
  <r>
    <x v="0"/>
    <x v="11"/>
    <x v="11"/>
    <x v="30"/>
    <x v="30"/>
    <x v="30"/>
    <x v="17"/>
    <x v="183"/>
    <x v="195"/>
    <x v="147"/>
    <x v="196"/>
    <x v="77"/>
    <x v="187"/>
    <x v="1"/>
  </r>
  <r>
    <x v="0"/>
    <x v="11"/>
    <x v="11"/>
    <x v="17"/>
    <x v="17"/>
    <x v="17"/>
    <x v="18"/>
    <x v="184"/>
    <x v="196"/>
    <x v="65"/>
    <x v="197"/>
    <x v="151"/>
    <x v="188"/>
    <x v="1"/>
  </r>
  <r>
    <x v="0"/>
    <x v="11"/>
    <x v="11"/>
    <x v="15"/>
    <x v="15"/>
    <x v="15"/>
    <x v="19"/>
    <x v="185"/>
    <x v="123"/>
    <x v="69"/>
    <x v="198"/>
    <x v="152"/>
    <x v="189"/>
    <x v="1"/>
  </r>
  <r>
    <x v="0"/>
    <x v="12"/>
    <x v="12"/>
    <x v="0"/>
    <x v="0"/>
    <x v="0"/>
    <x v="0"/>
    <x v="186"/>
    <x v="197"/>
    <x v="148"/>
    <x v="199"/>
    <x v="80"/>
    <x v="87"/>
    <x v="4"/>
  </r>
  <r>
    <x v="0"/>
    <x v="12"/>
    <x v="12"/>
    <x v="1"/>
    <x v="1"/>
    <x v="1"/>
    <x v="1"/>
    <x v="187"/>
    <x v="198"/>
    <x v="149"/>
    <x v="200"/>
    <x v="153"/>
    <x v="11"/>
    <x v="1"/>
  </r>
  <r>
    <x v="0"/>
    <x v="12"/>
    <x v="12"/>
    <x v="2"/>
    <x v="2"/>
    <x v="2"/>
    <x v="2"/>
    <x v="188"/>
    <x v="199"/>
    <x v="150"/>
    <x v="201"/>
    <x v="154"/>
    <x v="190"/>
    <x v="4"/>
  </r>
  <r>
    <x v="0"/>
    <x v="12"/>
    <x v="12"/>
    <x v="3"/>
    <x v="3"/>
    <x v="3"/>
    <x v="3"/>
    <x v="189"/>
    <x v="200"/>
    <x v="151"/>
    <x v="202"/>
    <x v="155"/>
    <x v="191"/>
    <x v="1"/>
  </r>
  <r>
    <x v="0"/>
    <x v="12"/>
    <x v="12"/>
    <x v="4"/>
    <x v="4"/>
    <x v="4"/>
    <x v="4"/>
    <x v="190"/>
    <x v="201"/>
    <x v="152"/>
    <x v="203"/>
    <x v="156"/>
    <x v="192"/>
    <x v="1"/>
  </r>
  <r>
    <x v="0"/>
    <x v="12"/>
    <x v="12"/>
    <x v="10"/>
    <x v="10"/>
    <x v="10"/>
    <x v="5"/>
    <x v="191"/>
    <x v="202"/>
    <x v="65"/>
    <x v="204"/>
    <x v="157"/>
    <x v="193"/>
    <x v="1"/>
  </r>
  <r>
    <x v="0"/>
    <x v="12"/>
    <x v="12"/>
    <x v="5"/>
    <x v="5"/>
    <x v="5"/>
    <x v="6"/>
    <x v="192"/>
    <x v="203"/>
    <x v="153"/>
    <x v="205"/>
    <x v="48"/>
    <x v="19"/>
    <x v="1"/>
  </r>
  <r>
    <x v="0"/>
    <x v="12"/>
    <x v="12"/>
    <x v="9"/>
    <x v="9"/>
    <x v="9"/>
    <x v="7"/>
    <x v="193"/>
    <x v="204"/>
    <x v="108"/>
    <x v="206"/>
    <x v="158"/>
    <x v="194"/>
    <x v="1"/>
  </r>
  <r>
    <x v="0"/>
    <x v="12"/>
    <x v="12"/>
    <x v="8"/>
    <x v="8"/>
    <x v="8"/>
    <x v="7"/>
    <x v="193"/>
    <x v="204"/>
    <x v="154"/>
    <x v="207"/>
    <x v="71"/>
    <x v="29"/>
    <x v="1"/>
  </r>
  <r>
    <x v="0"/>
    <x v="12"/>
    <x v="12"/>
    <x v="6"/>
    <x v="6"/>
    <x v="6"/>
    <x v="9"/>
    <x v="194"/>
    <x v="205"/>
    <x v="155"/>
    <x v="92"/>
    <x v="52"/>
    <x v="195"/>
    <x v="4"/>
  </r>
  <r>
    <x v="0"/>
    <x v="12"/>
    <x v="12"/>
    <x v="7"/>
    <x v="7"/>
    <x v="7"/>
    <x v="10"/>
    <x v="195"/>
    <x v="206"/>
    <x v="39"/>
    <x v="46"/>
    <x v="64"/>
    <x v="127"/>
    <x v="8"/>
  </r>
  <r>
    <x v="0"/>
    <x v="12"/>
    <x v="12"/>
    <x v="12"/>
    <x v="12"/>
    <x v="12"/>
    <x v="11"/>
    <x v="196"/>
    <x v="207"/>
    <x v="156"/>
    <x v="208"/>
    <x v="159"/>
    <x v="188"/>
    <x v="1"/>
  </r>
  <r>
    <x v="0"/>
    <x v="12"/>
    <x v="12"/>
    <x v="15"/>
    <x v="15"/>
    <x v="15"/>
    <x v="12"/>
    <x v="128"/>
    <x v="208"/>
    <x v="69"/>
    <x v="198"/>
    <x v="160"/>
    <x v="25"/>
    <x v="8"/>
  </r>
  <r>
    <x v="0"/>
    <x v="12"/>
    <x v="12"/>
    <x v="11"/>
    <x v="11"/>
    <x v="11"/>
    <x v="13"/>
    <x v="129"/>
    <x v="209"/>
    <x v="157"/>
    <x v="209"/>
    <x v="135"/>
    <x v="189"/>
    <x v="1"/>
  </r>
  <r>
    <x v="0"/>
    <x v="12"/>
    <x v="12"/>
    <x v="17"/>
    <x v="17"/>
    <x v="17"/>
    <x v="14"/>
    <x v="197"/>
    <x v="210"/>
    <x v="158"/>
    <x v="210"/>
    <x v="161"/>
    <x v="196"/>
    <x v="1"/>
  </r>
  <r>
    <x v="0"/>
    <x v="12"/>
    <x v="12"/>
    <x v="14"/>
    <x v="14"/>
    <x v="14"/>
    <x v="15"/>
    <x v="198"/>
    <x v="34"/>
    <x v="93"/>
    <x v="197"/>
    <x v="162"/>
    <x v="197"/>
    <x v="1"/>
  </r>
  <r>
    <x v="0"/>
    <x v="12"/>
    <x v="12"/>
    <x v="26"/>
    <x v="26"/>
    <x v="26"/>
    <x v="16"/>
    <x v="46"/>
    <x v="211"/>
    <x v="79"/>
    <x v="211"/>
    <x v="88"/>
    <x v="198"/>
    <x v="1"/>
  </r>
  <r>
    <x v="0"/>
    <x v="12"/>
    <x v="12"/>
    <x v="19"/>
    <x v="19"/>
    <x v="19"/>
    <x v="17"/>
    <x v="163"/>
    <x v="18"/>
    <x v="66"/>
    <x v="68"/>
    <x v="163"/>
    <x v="199"/>
    <x v="1"/>
  </r>
  <r>
    <x v="0"/>
    <x v="12"/>
    <x v="12"/>
    <x v="18"/>
    <x v="18"/>
    <x v="18"/>
    <x v="18"/>
    <x v="199"/>
    <x v="212"/>
    <x v="159"/>
    <x v="128"/>
    <x v="164"/>
    <x v="54"/>
    <x v="1"/>
  </r>
  <r>
    <x v="0"/>
    <x v="12"/>
    <x v="12"/>
    <x v="13"/>
    <x v="13"/>
    <x v="13"/>
    <x v="19"/>
    <x v="200"/>
    <x v="213"/>
    <x v="127"/>
    <x v="212"/>
    <x v="83"/>
    <x v="200"/>
    <x v="1"/>
  </r>
  <r>
    <x v="0"/>
    <x v="13"/>
    <x v="13"/>
    <x v="0"/>
    <x v="0"/>
    <x v="0"/>
    <x v="0"/>
    <x v="201"/>
    <x v="214"/>
    <x v="160"/>
    <x v="213"/>
    <x v="103"/>
    <x v="201"/>
    <x v="1"/>
  </r>
  <r>
    <x v="0"/>
    <x v="13"/>
    <x v="13"/>
    <x v="1"/>
    <x v="1"/>
    <x v="1"/>
    <x v="1"/>
    <x v="202"/>
    <x v="215"/>
    <x v="161"/>
    <x v="135"/>
    <x v="165"/>
    <x v="202"/>
    <x v="1"/>
  </r>
  <r>
    <x v="0"/>
    <x v="13"/>
    <x v="13"/>
    <x v="2"/>
    <x v="2"/>
    <x v="2"/>
    <x v="2"/>
    <x v="203"/>
    <x v="216"/>
    <x v="159"/>
    <x v="214"/>
    <x v="166"/>
    <x v="203"/>
    <x v="1"/>
  </r>
  <r>
    <x v="0"/>
    <x v="13"/>
    <x v="13"/>
    <x v="3"/>
    <x v="3"/>
    <x v="3"/>
    <x v="3"/>
    <x v="204"/>
    <x v="217"/>
    <x v="39"/>
    <x v="215"/>
    <x v="167"/>
    <x v="204"/>
    <x v="1"/>
  </r>
  <r>
    <x v="0"/>
    <x v="13"/>
    <x v="13"/>
    <x v="6"/>
    <x v="6"/>
    <x v="6"/>
    <x v="4"/>
    <x v="79"/>
    <x v="218"/>
    <x v="162"/>
    <x v="216"/>
    <x v="57"/>
    <x v="205"/>
    <x v="4"/>
  </r>
  <r>
    <x v="0"/>
    <x v="13"/>
    <x v="13"/>
    <x v="5"/>
    <x v="5"/>
    <x v="5"/>
    <x v="5"/>
    <x v="205"/>
    <x v="219"/>
    <x v="96"/>
    <x v="207"/>
    <x v="96"/>
    <x v="37"/>
    <x v="1"/>
  </r>
  <r>
    <x v="0"/>
    <x v="13"/>
    <x v="13"/>
    <x v="4"/>
    <x v="4"/>
    <x v="4"/>
    <x v="6"/>
    <x v="206"/>
    <x v="220"/>
    <x v="163"/>
    <x v="217"/>
    <x v="168"/>
    <x v="206"/>
    <x v="1"/>
  </r>
  <r>
    <x v="0"/>
    <x v="13"/>
    <x v="13"/>
    <x v="8"/>
    <x v="8"/>
    <x v="8"/>
    <x v="7"/>
    <x v="62"/>
    <x v="221"/>
    <x v="156"/>
    <x v="218"/>
    <x v="62"/>
    <x v="207"/>
    <x v="1"/>
  </r>
  <r>
    <x v="0"/>
    <x v="13"/>
    <x v="13"/>
    <x v="7"/>
    <x v="7"/>
    <x v="7"/>
    <x v="8"/>
    <x v="207"/>
    <x v="222"/>
    <x v="88"/>
    <x v="219"/>
    <x v="60"/>
    <x v="208"/>
    <x v="1"/>
  </r>
  <r>
    <x v="0"/>
    <x v="13"/>
    <x v="13"/>
    <x v="12"/>
    <x v="12"/>
    <x v="12"/>
    <x v="9"/>
    <x v="121"/>
    <x v="81"/>
    <x v="36"/>
    <x v="220"/>
    <x v="57"/>
    <x v="205"/>
    <x v="1"/>
  </r>
  <r>
    <x v="0"/>
    <x v="13"/>
    <x v="13"/>
    <x v="11"/>
    <x v="11"/>
    <x v="11"/>
    <x v="10"/>
    <x v="200"/>
    <x v="99"/>
    <x v="65"/>
    <x v="196"/>
    <x v="117"/>
    <x v="197"/>
    <x v="1"/>
  </r>
  <r>
    <x v="0"/>
    <x v="13"/>
    <x v="13"/>
    <x v="14"/>
    <x v="14"/>
    <x v="14"/>
    <x v="11"/>
    <x v="132"/>
    <x v="101"/>
    <x v="110"/>
    <x v="221"/>
    <x v="79"/>
    <x v="209"/>
    <x v="1"/>
  </r>
  <r>
    <x v="0"/>
    <x v="13"/>
    <x v="13"/>
    <x v="9"/>
    <x v="9"/>
    <x v="9"/>
    <x v="12"/>
    <x v="82"/>
    <x v="178"/>
    <x v="67"/>
    <x v="222"/>
    <x v="169"/>
    <x v="156"/>
    <x v="1"/>
  </r>
  <r>
    <x v="0"/>
    <x v="13"/>
    <x v="13"/>
    <x v="10"/>
    <x v="10"/>
    <x v="10"/>
    <x v="13"/>
    <x v="52"/>
    <x v="223"/>
    <x v="78"/>
    <x v="197"/>
    <x v="116"/>
    <x v="210"/>
    <x v="1"/>
  </r>
  <r>
    <x v="0"/>
    <x v="13"/>
    <x v="13"/>
    <x v="15"/>
    <x v="15"/>
    <x v="15"/>
    <x v="14"/>
    <x v="208"/>
    <x v="34"/>
    <x v="53"/>
    <x v="164"/>
    <x v="50"/>
    <x v="211"/>
    <x v="1"/>
  </r>
  <r>
    <x v="0"/>
    <x v="13"/>
    <x v="13"/>
    <x v="13"/>
    <x v="13"/>
    <x v="13"/>
    <x v="15"/>
    <x v="135"/>
    <x v="179"/>
    <x v="164"/>
    <x v="223"/>
    <x v="63"/>
    <x v="212"/>
    <x v="1"/>
  </r>
  <r>
    <x v="0"/>
    <x v="13"/>
    <x v="13"/>
    <x v="18"/>
    <x v="18"/>
    <x v="18"/>
    <x v="16"/>
    <x v="99"/>
    <x v="54"/>
    <x v="99"/>
    <x v="224"/>
    <x v="75"/>
    <x v="131"/>
    <x v="1"/>
  </r>
  <r>
    <x v="0"/>
    <x v="13"/>
    <x v="13"/>
    <x v="19"/>
    <x v="19"/>
    <x v="19"/>
    <x v="17"/>
    <x v="138"/>
    <x v="17"/>
    <x v="63"/>
    <x v="166"/>
    <x v="112"/>
    <x v="213"/>
    <x v="1"/>
  </r>
  <r>
    <x v="0"/>
    <x v="13"/>
    <x v="13"/>
    <x v="16"/>
    <x v="16"/>
    <x v="16"/>
    <x v="18"/>
    <x v="103"/>
    <x v="224"/>
    <x v="126"/>
    <x v="35"/>
    <x v="57"/>
    <x v="205"/>
    <x v="1"/>
  </r>
  <r>
    <x v="0"/>
    <x v="13"/>
    <x v="13"/>
    <x v="20"/>
    <x v="20"/>
    <x v="20"/>
    <x v="19"/>
    <x v="58"/>
    <x v="225"/>
    <x v="53"/>
    <x v="164"/>
    <x v="93"/>
    <x v="28"/>
    <x v="8"/>
  </r>
  <r>
    <x v="0"/>
    <x v="14"/>
    <x v="14"/>
    <x v="2"/>
    <x v="2"/>
    <x v="2"/>
    <x v="0"/>
    <x v="209"/>
    <x v="226"/>
    <x v="165"/>
    <x v="225"/>
    <x v="170"/>
    <x v="214"/>
    <x v="9"/>
  </r>
  <r>
    <x v="0"/>
    <x v="14"/>
    <x v="14"/>
    <x v="0"/>
    <x v="0"/>
    <x v="0"/>
    <x v="1"/>
    <x v="210"/>
    <x v="227"/>
    <x v="166"/>
    <x v="226"/>
    <x v="171"/>
    <x v="215"/>
    <x v="1"/>
  </r>
  <r>
    <x v="0"/>
    <x v="14"/>
    <x v="14"/>
    <x v="1"/>
    <x v="1"/>
    <x v="1"/>
    <x v="2"/>
    <x v="211"/>
    <x v="228"/>
    <x v="167"/>
    <x v="227"/>
    <x v="145"/>
    <x v="216"/>
    <x v="1"/>
  </r>
  <r>
    <x v="0"/>
    <x v="14"/>
    <x v="14"/>
    <x v="3"/>
    <x v="3"/>
    <x v="3"/>
    <x v="3"/>
    <x v="212"/>
    <x v="229"/>
    <x v="168"/>
    <x v="228"/>
    <x v="126"/>
    <x v="217"/>
    <x v="8"/>
  </r>
  <r>
    <x v="0"/>
    <x v="14"/>
    <x v="14"/>
    <x v="8"/>
    <x v="8"/>
    <x v="8"/>
    <x v="4"/>
    <x v="213"/>
    <x v="230"/>
    <x v="169"/>
    <x v="229"/>
    <x v="57"/>
    <x v="218"/>
    <x v="1"/>
  </r>
  <r>
    <x v="0"/>
    <x v="14"/>
    <x v="14"/>
    <x v="6"/>
    <x v="6"/>
    <x v="6"/>
    <x v="5"/>
    <x v="214"/>
    <x v="231"/>
    <x v="170"/>
    <x v="230"/>
    <x v="153"/>
    <x v="175"/>
    <x v="1"/>
  </r>
  <r>
    <x v="0"/>
    <x v="14"/>
    <x v="14"/>
    <x v="4"/>
    <x v="4"/>
    <x v="4"/>
    <x v="6"/>
    <x v="215"/>
    <x v="232"/>
    <x v="171"/>
    <x v="231"/>
    <x v="172"/>
    <x v="219"/>
    <x v="1"/>
  </r>
  <r>
    <x v="0"/>
    <x v="14"/>
    <x v="14"/>
    <x v="7"/>
    <x v="7"/>
    <x v="7"/>
    <x v="7"/>
    <x v="216"/>
    <x v="64"/>
    <x v="172"/>
    <x v="232"/>
    <x v="173"/>
    <x v="220"/>
    <x v="1"/>
  </r>
  <r>
    <x v="0"/>
    <x v="14"/>
    <x v="14"/>
    <x v="5"/>
    <x v="5"/>
    <x v="5"/>
    <x v="8"/>
    <x v="217"/>
    <x v="233"/>
    <x v="173"/>
    <x v="233"/>
    <x v="174"/>
    <x v="221"/>
    <x v="4"/>
  </r>
  <r>
    <x v="0"/>
    <x v="14"/>
    <x v="14"/>
    <x v="11"/>
    <x v="11"/>
    <x v="11"/>
    <x v="9"/>
    <x v="218"/>
    <x v="95"/>
    <x v="88"/>
    <x v="234"/>
    <x v="141"/>
    <x v="97"/>
    <x v="1"/>
  </r>
  <r>
    <x v="0"/>
    <x v="14"/>
    <x v="14"/>
    <x v="14"/>
    <x v="14"/>
    <x v="14"/>
    <x v="10"/>
    <x v="78"/>
    <x v="234"/>
    <x v="133"/>
    <x v="235"/>
    <x v="175"/>
    <x v="91"/>
    <x v="1"/>
  </r>
  <r>
    <x v="0"/>
    <x v="14"/>
    <x v="14"/>
    <x v="9"/>
    <x v="9"/>
    <x v="9"/>
    <x v="11"/>
    <x v="219"/>
    <x v="235"/>
    <x v="174"/>
    <x v="236"/>
    <x v="149"/>
    <x v="9"/>
    <x v="1"/>
  </r>
  <r>
    <x v="0"/>
    <x v="14"/>
    <x v="14"/>
    <x v="12"/>
    <x v="12"/>
    <x v="12"/>
    <x v="12"/>
    <x v="220"/>
    <x v="236"/>
    <x v="175"/>
    <x v="237"/>
    <x v="176"/>
    <x v="72"/>
    <x v="1"/>
  </r>
  <r>
    <x v="0"/>
    <x v="14"/>
    <x v="14"/>
    <x v="10"/>
    <x v="10"/>
    <x v="10"/>
    <x v="13"/>
    <x v="130"/>
    <x v="33"/>
    <x v="101"/>
    <x v="238"/>
    <x v="177"/>
    <x v="31"/>
    <x v="1"/>
  </r>
  <r>
    <x v="0"/>
    <x v="14"/>
    <x v="14"/>
    <x v="13"/>
    <x v="13"/>
    <x v="13"/>
    <x v="14"/>
    <x v="221"/>
    <x v="237"/>
    <x v="98"/>
    <x v="239"/>
    <x v="178"/>
    <x v="222"/>
    <x v="1"/>
  </r>
  <r>
    <x v="0"/>
    <x v="14"/>
    <x v="14"/>
    <x v="18"/>
    <x v="18"/>
    <x v="18"/>
    <x v="15"/>
    <x v="48"/>
    <x v="36"/>
    <x v="81"/>
    <x v="124"/>
    <x v="100"/>
    <x v="158"/>
    <x v="1"/>
  </r>
  <r>
    <x v="0"/>
    <x v="14"/>
    <x v="14"/>
    <x v="16"/>
    <x v="16"/>
    <x v="16"/>
    <x v="16"/>
    <x v="65"/>
    <x v="162"/>
    <x v="78"/>
    <x v="240"/>
    <x v="159"/>
    <x v="154"/>
    <x v="1"/>
  </r>
  <r>
    <x v="0"/>
    <x v="14"/>
    <x v="14"/>
    <x v="15"/>
    <x v="15"/>
    <x v="15"/>
    <x v="17"/>
    <x v="133"/>
    <x v="238"/>
    <x v="56"/>
    <x v="37"/>
    <x v="179"/>
    <x v="199"/>
    <x v="1"/>
  </r>
  <r>
    <x v="0"/>
    <x v="14"/>
    <x v="14"/>
    <x v="20"/>
    <x v="20"/>
    <x v="20"/>
    <x v="18"/>
    <x v="83"/>
    <x v="19"/>
    <x v="52"/>
    <x v="241"/>
    <x v="42"/>
    <x v="223"/>
    <x v="8"/>
  </r>
  <r>
    <x v="0"/>
    <x v="14"/>
    <x v="14"/>
    <x v="27"/>
    <x v="27"/>
    <x v="27"/>
    <x v="19"/>
    <x v="222"/>
    <x v="135"/>
    <x v="63"/>
    <x v="242"/>
    <x v="107"/>
    <x v="201"/>
    <x v="1"/>
  </r>
  <r>
    <x v="0"/>
    <x v="15"/>
    <x v="15"/>
    <x v="0"/>
    <x v="0"/>
    <x v="0"/>
    <x v="0"/>
    <x v="223"/>
    <x v="239"/>
    <x v="86"/>
    <x v="243"/>
    <x v="101"/>
    <x v="29"/>
    <x v="1"/>
  </r>
  <r>
    <x v="0"/>
    <x v="15"/>
    <x v="15"/>
    <x v="2"/>
    <x v="2"/>
    <x v="2"/>
    <x v="1"/>
    <x v="224"/>
    <x v="240"/>
    <x v="132"/>
    <x v="244"/>
    <x v="51"/>
    <x v="224"/>
    <x v="4"/>
  </r>
  <r>
    <x v="0"/>
    <x v="15"/>
    <x v="15"/>
    <x v="1"/>
    <x v="1"/>
    <x v="1"/>
    <x v="2"/>
    <x v="225"/>
    <x v="241"/>
    <x v="107"/>
    <x v="245"/>
    <x v="180"/>
    <x v="115"/>
    <x v="1"/>
  </r>
  <r>
    <x v="0"/>
    <x v="15"/>
    <x v="15"/>
    <x v="3"/>
    <x v="3"/>
    <x v="3"/>
    <x v="3"/>
    <x v="226"/>
    <x v="242"/>
    <x v="115"/>
    <x v="246"/>
    <x v="105"/>
    <x v="225"/>
    <x v="1"/>
  </r>
  <r>
    <x v="0"/>
    <x v="15"/>
    <x v="15"/>
    <x v="5"/>
    <x v="5"/>
    <x v="5"/>
    <x v="4"/>
    <x v="67"/>
    <x v="243"/>
    <x v="152"/>
    <x v="247"/>
    <x v="180"/>
    <x v="115"/>
    <x v="1"/>
  </r>
  <r>
    <x v="0"/>
    <x v="15"/>
    <x v="15"/>
    <x v="4"/>
    <x v="4"/>
    <x v="4"/>
    <x v="5"/>
    <x v="166"/>
    <x v="143"/>
    <x v="133"/>
    <x v="248"/>
    <x v="112"/>
    <x v="226"/>
    <x v="1"/>
  </r>
  <r>
    <x v="0"/>
    <x v="15"/>
    <x v="15"/>
    <x v="6"/>
    <x v="6"/>
    <x v="6"/>
    <x v="6"/>
    <x v="56"/>
    <x v="170"/>
    <x v="171"/>
    <x v="249"/>
    <x v="181"/>
    <x v="227"/>
    <x v="1"/>
  </r>
  <r>
    <x v="0"/>
    <x v="15"/>
    <x v="15"/>
    <x v="11"/>
    <x v="11"/>
    <x v="11"/>
    <x v="7"/>
    <x v="70"/>
    <x v="171"/>
    <x v="171"/>
    <x v="249"/>
    <x v="110"/>
    <x v="228"/>
    <x v="1"/>
  </r>
  <r>
    <x v="0"/>
    <x v="15"/>
    <x v="15"/>
    <x v="8"/>
    <x v="8"/>
    <x v="8"/>
    <x v="8"/>
    <x v="227"/>
    <x v="244"/>
    <x v="38"/>
    <x v="250"/>
    <x v="182"/>
    <x v="229"/>
    <x v="1"/>
  </r>
  <r>
    <x v="0"/>
    <x v="15"/>
    <x v="15"/>
    <x v="9"/>
    <x v="9"/>
    <x v="9"/>
    <x v="9"/>
    <x v="72"/>
    <x v="245"/>
    <x v="75"/>
    <x v="251"/>
    <x v="183"/>
    <x v="49"/>
    <x v="1"/>
  </r>
  <r>
    <x v="0"/>
    <x v="15"/>
    <x v="15"/>
    <x v="12"/>
    <x v="12"/>
    <x v="12"/>
    <x v="10"/>
    <x v="228"/>
    <x v="246"/>
    <x v="100"/>
    <x v="252"/>
    <x v="184"/>
    <x v="230"/>
    <x v="1"/>
  </r>
  <r>
    <x v="0"/>
    <x v="15"/>
    <x v="15"/>
    <x v="10"/>
    <x v="10"/>
    <x v="10"/>
    <x v="11"/>
    <x v="74"/>
    <x v="83"/>
    <x v="82"/>
    <x v="253"/>
    <x v="87"/>
    <x v="81"/>
    <x v="1"/>
  </r>
  <r>
    <x v="0"/>
    <x v="15"/>
    <x v="15"/>
    <x v="7"/>
    <x v="7"/>
    <x v="7"/>
    <x v="12"/>
    <x v="229"/>
    <x v="176"/>
    <x v="101"/>
    <x v="254"/>
    <x v="184"/>
    <x v="230"/>
    <x v="1"/>
  </r>
  <r>
    <x v="0"/>
    <x v="15"/>
    <x v="15"/>
    <x v="13"/>
    <x v="13"/>
    <x v="13"/>
    <x v="13"/>
    <x v="142"/>
    <x v="33"/>
    <x v="94"/>
    <x v="255"/>
    <x v="185"/>
    <x v="231"/>
    <x v="1"/>
  </r>
  <r>
    <x v="0"/>
    <x v="15"/>
    <x v="15"/>
    <x v="15"/>
    <x v="15"/>
    <x v="15"/>
    <x v="14"/>
    <x v="124"/>
    <x v="247"/>
    <x v="116"/>
    <x v="151"/>
    <x v="87"/>
    <x v="81"/>
    <x v="1"/>
  </r>
  <r>
    <x v="0"/>
    <x v="15"/>
    <x v="15"/>
    <x v="30"/>
    <x v="30"/>
    <x v="30"/>
    <x v="15"/>
    <x v="230"/>
    <x v="248"/>
    <x v="78"/>
    <x v="256"/>
    <x v="186"/>
    <x v="232"/>
    <x v="4"/>
  </r>
  <r>
    <x v="0"/>
    <x v="15"/>
    <x v="15"/>
    <x v="21"/>
    <x v="21"/>
    <x v="21"/>
    <x v="16"/>
    <x v="231"/>
    <x v="249"/>
    <x v="47"/>
    <x v="13"/>
    <x v="181"/>
    <x v="227"/>
    <x v="1"/>
  </r>
  <r>
    <x v="0"/>
    <x v="15"/>
    <x v="15"/>
    <x v="31"/>
    <x v="31"/>
    <x v="31"/>
    <x v="17"/>
    <x v="232"/>
    <x v="56"/>
    <x v="37"/>
    <x v="100"/>
    <x v="182"/>
    <x v="229"/>
    <x v="1"/>
  </r>
  <r>
    <x v="0"/>
    <x v="15"/>
    <x v="15"/>
    <x v="18"/>
    <x v="18"/>
    <x v="18"/>
    <x v="18"/>
    <x v="233"/>
    <x v="88"/>
    <x v="54"/>
    <x v="211"/>
    <x v="101"/>
    <x v="29"/>
    <x v="1"/>
  </r>
  <r>
    <x v="0"/>
    <x v="15"/>
    <x v="15"/>
    <x v="28"/>
    <x v="28"/>
    <x v="28"/>
    <x v="19"/>
    <x v="234"/>
    <x v="123"/>
    <x v="56"/>
    <x v="70"/>
    <x v="113"/>
    <x v="233"/>
    <x v="1"/>
  </r>
  <r>
    <x v="0"/>
    <x v="16"/>
    <x v="16"/>
    <x v="2"/>
    <x v="2"/>
    <x v="2"/>
    <x v="0"/>
    <x v="235"/>
    <x v="250"/>
    <x v="47"/>
    <x v="101"/>
    <x v="187"/>
    <x v="234"/>
    <x v="10"/>
  </r>
  <r>
    <x v="0"/>
    <x v="16"/>
    <x v="16"/>
    <x v="1"/>
    <x v="1"/>
    <x v="1"/>
    <x v="1"/>
    <x v="236"/>
    <x v="198"/>
    <x v="61"/>
    <x v="243"/>
    <x v="78"/>
    <x v="135"/>
    <x v="1"/>
  </r>
  <r>
    <x v="0"/>
    <x v="16"/>
    <x v="16"/>
    <x v="0"/>
    <x v="0"/>
    <x v="0"/>
    <x v="2"/>
    <x v="237"/>
    <x v="251"/>
    <x v="60"/>
    <x v="257"/>
    <x v="72"/>
    <x v="235"/>
    <x v="1"/>
  </r>
  <r>
    <x v="0"/>
    <x v="16"/>
    <x v="16"/>
    <x v="7"/>
    <x v="7"/>
    <x v="7"/>
    <x v="3"/>
    <x v="238"/>
    <x v="252"/>
    <x v="35"/>
    <x v="258"/>
    <x v="64"/>
    <x v="236"/>
    <x v="1"/>
  </r>
  <r>
    <x v="0"/>
    <x v="16"/>
    <x v="16"/>
    <x v="3"/>
    <x v="3"/>
    <x v="3"/>
    <x v="4"/>
    <x v="239"/>
    <x v="253"/>
    <x v="65"/>
    <x v="259"/>
    <x v="51"/>
    <x v="146"/>
    <x v="4"/>
  </r>
  <r>
    <x v="0"/>
    <x v="16"/>
    <x v="16"/>
    <x v="8"/>
    <x v="8"/>
    <x v="8"/>
    <x v="4"/>
    <x v="239"/>
    <x v="253"/>
    <x v="43"/>
    <x v="105"/>
    <x v="188"/>
    <x v="237"/>
    <x v="1"/>
  </r>
  <r>
    <x v="0"/>
    <x v="16"/>
    <x v="16"/>
    <x v="6"/>
    <x v="6"/>
    <x v="6"/>
    <x v="6"/>
    <x v="134"/>
    <x v="254"/>
    <x v="38"/>
    <x v="260"/>
    <x v="71"/>
    <x v="238"/>
    <x v="4"/>
  </r>
  <r>
    <x v="0"/>
    <x v="16"/>
    <x v="16"/>
    <x v="11"/>
    <x v="11"/>
    <x v="11"/>
    <x v="7"/>
    <x v="135"/>
    <x v="255"/>
    <x v="100"/>
    <x v="261"/>
    <x v="55"/>
    <x v="239"/>
    <x v="1"/>
  </r>
  <r>
    <x v="0"/>
    <x v="16"/>
    <x v="16"/>
    <x v="5"/>
    <x v="5"/>
    <x v="5"/>
    <x v="8"/>
    <x v="99"/>
    <x v="256"/>
    <x v="38"/>
    <x v="260"/>
    <x v="58"/>
    <x v="240"/>
    <x v="4"/>
  </r>
  <r>
    <x v="0"/>
    <x v="16"/>
    <x v="16"/>
    <x v="14"/>
    <x v="14"/>
    <x v="14"/>
    <x v="9"/>
    <x v="55"/>
    <x v="257"/>
    <x v="70"/>
    <x v="262"/>
    <x v="109"/>
    <x v="241"/>
    <x v="1"/>
  </r>
  <r>
    <x v="0"/>
    <x v="16"/>
    <x v="16"/>
    <x v="4"/>
    <x v="4"/>
    <x v="4"/>
    <x v="10"/>
    <x v="103"/>
    <x v="258"/>
    <x v="63"/>
    <x v="18"/>
    <x v="75"/>
    <x v="211"/>
    <x v="1"/>
  </r>
  <r>
    <x v="0"/>
    <x v="16"/>
    <x v="16"/>
    <x v="13"/>
    <x v="13"/>
    <x v="13"/>
    <x v="11"/>
    <x v="72"/>
    <x v="236"/>
    <x v="78"/>
    <x v="263"/>
    <x v="46"/>
    <x v="242"/>
    <x v="1"/>
  </r>
  <r>
    <x v="0"/>
    <x v="16"/>
    <x v="16"/>
    <x v="16"/>
    <x v="16"/>
    <x v="16"/>
    <x v="12"/>
    <x v="228"/>
    <x v="104"/>
    <x v="56"/>
    <x v="264"/>
    <x v="144"/>
    <x v="171"/>
    <x v="1"/>
  </r>
  <r>
    <x v="0"/>
    <x v="16"/>
    <x v="16"/>
    <x v="20"/>
    <x v="20"/>
    <x v="20"/>
    <x v="13"/>
    <x v="240"/>
    <x v="84"/>
    <x v="56"/>
    <x v="264"/>
    <x v="74"/>
    <x v="243"/>
    <x v="1"/>
  </r>
  <r>
    <x v="0"/>
    <x v="16"/>
    <x v="16"/>
    <x v="18"/>
    <x v="18"/>
    <x v="18"/>
    <x v="14"/>
    <x v="126"/>
    <x v="39"/>
    <x v="80"/>
    <x v="265"/>
    <x v="91"/>
    <x v="244"/>
    <x v="1"/>
  </r>
  <r>
    <x v="0"/>
    <x v="16"/>
    <x v="16"/>
    <x v="19"/>
    <x v="19"/>
    <x v="19"/>
    <x v="15"/>
    <x v="241"/>
    <x v="259"/>
    <x v="116"/>
    <x v="151"/>
    <x v="73"/>
    <x v="245"/>
    <x v="1"/>
  </r>
  <r>
    <x v="0"/>
    <x v="16"/>
    <x v="16"/>
    <x v="10"/>
    <x v="10"/>
    <x v="10"/>
    <x v="16"/>
    <x v="232"/>
    <x v="260"/>
    <x v="102"/>
    <x v="266"/>
    <x v="91"/>
    <x v="244"/>
    <x v="1"/>
  </r>
  <r>
    <x v="0"/>
    <x v="16"/>
    <x v="16"/>
    <x v="32"/>
    <x v="32"/>
    <x v="32"/>
    <x v="16"/>
    <x v="232"/>
    <x v="260"/>
    <x v="52"/>
    <x v="108"/>
    <x v="81"/>
    <x v="246"/>
    <x v="1"/>
  </r>
  <r>
    <x v="0"/>
    <x v="16"/>
    <x v="16"/>
    <x v="27"/>
    <x v="27"/>
    <x v="27"/>
    <x v="18"/>
    <x v="233"/>
    <x v="261"/>
    <x v="103"/>
    <x v="267"/>
    <x v="183"/>
    <x v="144"/>
    <x v="1"/>
  </r>
  <r>
    <x v="0"/>
    <x v="16"/>
    <x v="16"/>
    <x v="9"/>
    <x v="9"/>
    <x v="9"/>
    <x v="19"/>
    <x v="242"/>
    <x v="137"/>
    <x v="53"/>
    <x v="102"/>
    <x v="113"/>
    <x v="247"/>
    <x v="1"/>
  </r>
  <r>
    <x v="0"/>
    <x v="16"/>
    <x v="16"/>
    <x v="33"/>
    <x v="33"/>
    <x v="33"/>
    <x v="19"/>
    <x v="242"/>
    <x v="137"/>
    <x v="69"/>
    <x v="268"/>
    <x v="104"/>
    <x v="18"/>
    <x v="1"/>
  </r>
  <r>
    <x v="0"/>
    <x v="17"/>
    <x v="17"/>
    <x v="0"/>
    <x v="0"/>
    <x v="0"/>
    <x v="0"/>
    <x v="243"/>
    <x v="262"/>
    <x v="176"/>
    <x v="269"/>
    <x v="58"/>
    <x v="28"/>
    <x v="1"/>
  </r>
  <r>
    <x v="0"/>
    <x v="17"/>
    <x v="17"/>
    <x v="1"/>
    <x v="1"/>
    <x v="1"/>
    <x v="1"/>
    <x v="244"/>
    <x v="263"/>
    <x v="95"/>
    <x v="270"/>
    <x v="63"/>
    <x v="248"/>
    <x v="1"/>
  </r>
  <r>
    <x v="0"/>
    <x v="17"/>
    <x v="17"/>
    <x v="2"/>
    <x v="2"/>
    <x v="2"/>
    <x v="2"/>
    <x v="245"/>
    <x v="264"/>
    <x v="38"/>
    <x v="271"/>
    <x v="189"/>
    <x v="249"/>
    <x v="1"/>
  </r>
  <r>
    <x v="0"/>
    <x v="17"/>
    <x v="17"/>
    <x v="4"/>
    <x v="4"/>
    <x v="4"/>
    <x v="3"/>
    <x v="246"/>
    <x v="265"/>
    <x v="50"/>
    <x v="272"/>
    <x v="98"/>
    <x v="250"/>
    <x v="1"/>
  </r>
  <r>
    <x v="0"/>
    <x v="17"/>
    <x v="17"/>
    <x v="3"/>
    <x v="3"/>
    <x v="3"/>
    <x v="4"/>
    <x v="247"/>
    <x v="218"/>
    <x v="109"/>
    <x v="273"/>
    <x v="190"/>
    <x v="251"/>
    <x v="4"/>
  </r>
  <r>
    <x v="0"/>
    <x v="17"/>
    <x v="17"/>
    <x v="10"/>
    <x v="10"/>
    <x v="10"/>
    <x v="5"/>
    <x v="248"/>
    <x v="266"/>
    <x v="92"/>
    <x v="239"/>
    <x v="191"/>
    <x v="252"/>
    <x v="1"/>
  </r>
  <r>
    <x v="0"/>
    <x v="17"/>
    <x v="17"/>
    <x v="6"/>
    <x v="6"/>
    <x v="6"/>
    <x v="6"/>
    <x v="159"/>
    <x v="267"/>
    <x v="76"/>
    <x v="274"/>
    <x v="144"/>
    <x v="253"/>
    <x v="4"/>
  </r>
  <r>
    <x v="0"/>
    <x v="17"/>
    <x v="17"/>
    <x v="9"/>
    <x v="9"/>
    <x v="9"/>
    <x v="7"/>
    <x v="249"/>
    <x v="268"/>
    <x v="100"/>
    <x v="275"/>
    <x v="80"/>
    <x v="254"/>
    <x v="1"/>
  </r>
  <r>
    <x v="0"/>
    <x v="17"/>
    <x v="17"/>
    <x v="8"/>
    <x v="8"/>
    <x v="8"/>
    <x v="8"/>
    <x v="80"/>
    <x v="233"/>
    <x v="32"/>
    <x v="276"/>
    <x v="188"/>
    <x v="255"/>
    <x v="1"/>
  </r>
  <r>
    <x v="0"/>
    <x v="17"/>
    <x v="17"/>
    <x v="5"/>
    <x v="5"/>
    <x v="5"/>
    <x v="9"/>
    <x v="132"/>
    <x v="269"/>
    <x v="177"/>
    <x v="277"/>
    <x v="102"/>
    <x v="256"/>
    <x v="4"/>
  </r>
  <r>
    <x v="0"/>
    <x v="17"/>
    <x v="17"/>
    <x v="12"/>
    <x v="12"/>
    <x v="12"/>
    <x v="10"/>
    <x v="250"/>
    <x v="96"/>
    <x v="178"/>
    <x v="278"/>
    <x v="93"/>
    <x v="257"/>
    <x v="1"/>
  </r>
  <r>
    <x v="0"/>
    <x v="17"/>
    <x v="17"/>
    <x v="7"/>
    <x v="7"/>
    <x v="7"/>
    <x v="11"/>
    <x v="84"/>
    <x v="97"/>
    <x v="81"/>
    <x v="279"/>
    <x v="75"/>
    <x v="7"/>
    <x v="1"/>
  </r>
  <r>
    <x v="0"/>
    <x v="17"/>
    <x v="17"/>
    <x v="14"/>
    <x v="14"/>
    <x v="14"/>
    <x v="12"/>
    <x v="54"/>
    <x v="236"/>
    <x v="54"/>
    <x v="14"/>
    <x v="109"/>
    <x v="140"/>
    <x v="1"/>
  </r>
  <r>
    <x v="0"/>
    <x v="17"/>
    <x v="17"/>
    <x v="11"/>
    <x v="11"/>
    <x v="11"/>
    <x v="13"/>
    <x v="101"/>
    <x v="70"/>
    <x v="133"/>
    <x v="188"/>
    <x v="53"/>
    <x v="198"/>
    <x v="1"/>
  </r>
  <r>
    <x v="0"/>
    <x v="17"/>
    <x v="17"/>
    <x v="26"/>
    <x v="26"/>
    <x v="26"/>
    <x v="14"/>
    <x v="112"/>
    <x v="194"/>
    <x v="54"/>
    <x v="14"/>
    <x v="77"/>
    <x v="258"/>
    <x v="1"/>
  </r>
  <r>
    <x v="0"/>
    <x v="17"/>
    <x v="17"/>
    <x v="15"/>
    <x v="15"/>
    <x v="15"/>
    <x v="14"/>
    <x v="112"/>
    <x v="194"/>
    <x v="116"/>
    <x v="151"/>
    <x v="93"/>
    <x v="257"/>
    <x v="1"/>
  </r>
  <r>
    <x v="0"/>
    <x v="17"/>
    <x v="17"/>
    <x v="22"/>
    <x v="22"/>
    <x v="22"/>
    <x v="16"/>
    <x v="251"/>
    <x v="270"/>
    <x v="66"/>
    <x v="280"/>
    <x v="74"/>
    <x v="51"/>
    <x v="1"/>
  </r>
  <r>
    <x v="0"/>
    <x v="17"/>
    <x v="17"/>
    <x v="13"/>
    <x v="13"/>
    <x v="13"/>
    <x v="17"/>
    <x v="72"/>
    <x v="162"/>
    <x v="94"/>
    <x v="265"/>
    <x v="73"/>
    <x v="259"/>
    <x v="1"/>
  </r>
  <r>
    <x v="0"/>
    <x v="17"/>
    <x v="17"/>
    <x v="17"/>
    <x v="17"/>
    <x v="17"/>
    <x v="18"/>
    <x v="140"/>
    <x v="271"/>
    <x v="126"/>
    <x v="281"/>
    <x v="144"/>
    <x v="253"/>
    <x v="1"/>
  </r>
  <r>
    <x v="0"/>
    <x v="17"/>
    <x v="17"/>
    <x v="19"/>
    <x v="19"/>
    <x v="19"/>
    <x v="19"/>
    <x v="228"/>
    <x v="259"/>
    <x v="56"/>
    <x v="282"/>
    <x v="144"/>
    <x v="253"/>
    <x v="1"/>
  </r>
  <r>
    <x v="0"/>
    <x v="18"/>
    <x v="18"/>
    <x v="0"/>
    <x v="0"/>
    <x v="0"/>
    <x v="0"/>
    <x v="166"/>
    <x v="272"/>
    <x v="97"/>
    <x v="283"/>
    <x v="97"/>
    <x v="248"/>
    <x v="1"/>
  </r>
  <r>
    <x v="0"/>
    <x v="18"/>
    <x v="18"/>
    <x v="1"/>
    <x v="1"/>
    <x v="1"/>
    <x v="1"/>
    <x v="53"/>
    <x v="273"/>
    <x v="97"/>
    <x v="283"/>
    <x v="184"/>
    <x v="112"/>
    <x v="1"/>
  </r>
  <r>
    <x v="0"/>
    <x v="18"/>
    <x v="18"/>
    <x v="2"/>
    <x v="2"/>
    <x v="2"/>
    <x v="2"/>
    <x v="86"/>
    <x v="274"/>
    <x v="65"/>
    <x v="284"/>
    <x v="62"/>
    <x v="260"/>
    <x v="1"/>
  </r>
  <r>
    <x v="0"/>
    <x v="18"/>
    <x v="18"/>
    <x v="3"/>
    <x v="3"/>
    <x v="3"/>
    <x v="3"/>
    <x v="58"/>
    <x v="275"/>
    <x v="55"/>
    <x v="285"/>
    <x v="46"/>
    <x v="261"/>
    <x v="1"/>
  </r>
  <r>
    <x v="0"/>
    <x v="18"/>
    <x v="18"/>
    <x v="6"/>
    <x v="6"/>
    <x v="6"/>
    <x v="4"/>
    <x v="251"/>
    <x v="276"/>
    <x v="51"/>
    <x v="276"/>
    <x v="184"/>
    <x v="112"/>
    <x v="1"/>
  </r>
  <r>
    <x v="0"/>
    <x v="18"/>
    <x v="18"/>
    <x v="4"/>
    <x v="4"/>
    <x v="4"/>
    <x v="5"/>
    <x v="252"/>
    <x v="277"/>
    <x v="37"/>
    <x v="27"/>
    <x v="68"/>
    <x v="262"/>
    <x v="1"/>
  </r>
  <r>
    <x v="0"/>
    <x v="18"/>
    <x v="18"/>
    <x v="10"/>
    <x v="10"/>
    <x v="10"/>
    <x v="5"/>
    <x v="252"/>
    <x v="277"/>
    <x v="47"/>
    <x v="286"/>
    <x v="67"/>
    <x v="263"/>
    <x v="1"/>
  </r>
  <r>
    <x v="0"/>
    <x v="18"/>
    <x v="18"/>
    <x v="5"/>
    <x v="5"/>
    <x v="5"/>
    <x v="7"/>
    <x v="253"/>
    <x v="278"/>
    <x v="174"/>
    <x v="287"/>
    <x v="182"/>
    <x v="208"/>
    <x v="1"/>
  </r>
  <r>
    <x v="0"/>
    <x v="18"/>
    <x v="18"/>
    <x v="9"/>
    <x v="9"/>
    <x v="9"/>
    <x v="8"/>
    <x v="126"/>
    <x v="279"/>
    <x v="179"/>
    <x v="288"/>
    <x v="192"/>
    <x v="147"/>
    <x v="1"/>
  </r>
  <r>
    <x v="0"/>
    <x v="18"/>
    <x v="18"/>
    <x v="8"/>
    <x v="8"/>
    <x v="8"/>
    <x v="9"/>
    <x v="232"/>
    <x v="280"/>
    <x v="92"/>
    <x v="289"/>
    <x v="193"/>
    <x v="264"/>
    <x v="1"/>
  </r>
  <r>
    <x v="0"/>
    <x v="18"/>
    <x v="18"/>
    <x v="13"/>
    <x v="13"/>
    <x v="13"/>
    <x v="10"/>
    <x v="234"/>
    <x v="120"/>
    <x v="102"/>
    <x v="290"/>
    <x v="185"/>
    <x v="265"/>
    <x v="1"/>
  </r>
  <r>
    <x v="0"/>
    <x v="18"/>
    <x v="18"/>
    <x v="11"/>
    <x v="11"/>
    <x v="11"/>
    <x v="11"/>
    <x v="254"/>
    <x v="281"/>
    <x v="179"/>
    <x v="288"/>
    <x v="194"/>
    <x v="45"/>
    <x v="1"/>
  </r>
  <r>
    <x v="0"/>
    <x v="18"/>
    <x v="18"/>
    <x v="12"/>
    <x v="12"/>
    <x v="12"/>
    <x v="11"/>
    <x v="254"/>
    <x v="281"/>
    <x v="63"/>
    <x v="291"/>
    <x v="182"/>
    <x v="208"/>
    <x v="1"/>
  </r>
  <r>
    <x v="0"/>
    <x v="18"/>
    <x v="18"/>
    <x v="15"/>
    <x v="15"/>
    <x v="15"/>
    <x v="13"/>
    <x v="255"/>
    <x v="282"/>
    <x v="69"/>
    <x v="242"/>
    <x v="184"/>
    <x v="112"/>
    <x v="1"/>
  </r>
  <r>
    <x v="0"/>
    <x v="18"/>
    <x v="18"/>
    <x v="17"/>
    <x v="17"/>
    <x v="17"/>
    <x v="14"/>
    <x v="256"/>
    <x v="151"/>
    <x v="69"/>
    <x v="242"/>
    <x v="81"/>
    <x v="266"/>
    <x v="1"/>
  </r>
  <r>
    <x v="0"/>
    <x v="18"/>
    <x v="18"/>
    <x v="7"/>
    <x v="7"/>
    <x v="7"/>
    <x v="15"/>
    <x v="257"/>
    <x v="56"/>
    <x v="54"/>
    <x v="292"/>
    <x v="195"/>
    <x v="267"/>
    <x v="1"/>
  </r>
  <r>
    <x v="0"/>
    <x v="18"/>
    <x v="18"/>
    <x v="34"/>
    <x v="34"/>
    <x v="34"/>
    <x v="16"/>
    <x v="258"/>
    <x v="39"/>
    <x v="116"/>
    <x v="151"/>
    <x v="84"/>
    <x v="268"/>
    <x v="1"/>
  </r>
  <r>
    <x v="0"/>
    <x v="18"/>
    <x v="18"/>
    <x v="30"/>
    <x v="30"/>
    <x v="30"/>
    <x v="16"/>
    <x v="258"/>
    <x v="39"/>
    <x v="80"/>
    <x v="175"/>
    <x v="193"/>
    <x v="264"/>
    <x v="1"/>
  </r>
  <r>
    <x v="0"/>
    <x v="18"/>
    <x v="18"/>
    <x v="18"/>
    <x v="18"/>
    <x v="18"/>
    <x v="18"/>
    <x v="259"/>
    <x v="123"/>
    <x v="70"/>
    <x v="293"/>
    <x v="186"/>
    <x v="269"/>
    <x v="1"/>
  </r>
  <r>
    <x v="0"/>
    <x v="18"/>
    <x v="18"/>
    <x v="35"/>
    <x v="35"/>
    <x v="35"/>
    <x v="19"/>
    <x v="260"/>
    <x v="163"/>
    <x v="56"/>
    <x v="85"/>
    <x v="101"/>
    <x v="270"/>
    <x v="1"/>
  </r>
  <r>
    <x v="0"/>
    <x v="18"/>
    <x v="18"/>
    <x v="22"/>
    <x v="22"/>
    <x v="22"/>
    <x v="19"/>
    <x v="260"/>
    <x v="163"/>
    <x v="56"/>
    <x v="85"/>
    <x v="101"/>
    <x v="270"/>
    <x v="1"/>
  </r>
  <r>
    <x v="0"/>
    <x v="18"/>
    <x v="18"/>
    <x v="32"/>
    <x v="32"/>
    <x v="32"/>
    <x v="19"/>
    <x v="260"/>
    <x v="163"/>
    <x v="70"/>
    <x v="293"/>
    <x v="195"/>
    <x v="267"/>
    <x v="4"/>
  </r>
  <r>
    <x v="0"/>
    <x v="19"/>
    <x v="19"/>
    <x v="0"/>
    <x v="0"/>
    <x v="0"/>
    <x v="0"/>
    <x v="261"/>
    <x v="283"/>
    <x v="180"/>
    <x v="294"/>
    <x v="70"/>
    <x v="271"/>
    <x v="1"/>
  </r>
  <r>
    <x v="0"/>
    <x v="19"/>
    <x v="19"/>
    <x v="3"/>
    <x v="3"/>
    <x v="3"/>
    <x v="1"/>
    <x v="262"/>
    <x v="284"/>
    <x v="181"/>
    <x v="244"/>
    <x v="82"/>
    <x v="132"/>
    <x v="1"/>
  </r>
  <r>
    <x v="0"/>
    <x v="19"/>
    <x v="19"/>
    <x v="1"/>
    <x v="1"/>
    <x v="1"/>
    <x v="2"/>
    <x v="263"/>
    <x v="285"/>
    <x v="182"/>
    <x v="295"/>
    <x v="183"/>
    <x v="172"/>
    <x v="1"/>
  </r>
  <r>
    <x v="0"/>
    <x v="19"/>
    <x v="19"/>
    <x v="4"/>
    <x v="4"/>
    <x v="4"/>
    <x v="3"/>
    <x v="246"/>
    <x v="286"/>
    <x v="90"/>
    <x v="296"/>
    <x v="178"/>
    <x v="272"/>
    <x v="1"/>
  </r>
  <r>
    <x v="0"/>
    <x v="19"/>
    <x v="19"/>
    <x v="5"/>
    <x v="5"/>
    <x v="5"/>
    <x v="4"/>
    <x v="264"/>
    <x v="287"/>
    <x v="42"/>
    <x v="218"/>
    <x v="93"/>
    <x v="273"/>
    <x v="1"/>
  </r>
  <r>
    <x v="0"/>
    <x v="19"/>
    <x v="19"/>
    <x v="2"/>
    <x v="2"/>
    <x v="2"/>
    <x v="5"/>
    <x v="265"/>
    <x v="288"/>
    <x v="128"/>
    <x v="297"/>
    <x v="92"/>
    <x v="274"/>
    <x v="1"/>
  </r>
  <r>
    <x v="0"/>
    <x v="19"/>
    <x v="19"/>
    <x v="31"/>
    <x v="31"/>
    <x v="31"/>
    <x v="6"/>
    <x v="266"/>
    <x v="289"/>
    <x v="141"/>
    <x v="298"/>
    <x v="113"/>
    <x v="275"/>
    <x v="1"/>
  </r>
  <r>
    <x v="0"/>
    <x v="19"/>
    <x v="19"/>
    <x v="6"/>
    <x v="6"/>
    <x v="6"/>
    <x v="7"/>
    <x v="64"/>
    <x v="170"/>
    <x v="115"/>
    <x v="299"/>
    <x v="62"/>
    <x v="276"/>
    <x v="9"/>
  </r>
  <r>
    <x v="0"/>
    <x v="19"/>
    <x v="19"/>
    <x v="9"/>
    <x v="9"/>
    <x v="9"/>
    <x v="8"/>
    <x v="226"/>
    <x v="290"/>
    <x v="175"/>
    <x v="2"/>
    <x v="68"/>
    <x v="277"/>
    <x v="1"/>
  </r>
  <r>
    <x v="0"/>
    <x v="19"/>
    <x v="19"/>
    <x v="11"/>
    <x v="11"/>
    <x v="11"/>
    <x v="9"/>
    <x v="51"/>
    <x v="291"/>
    <x v="183"/>
    <x v="300"/>
    <x v="86"/>
    <x v="278"/>
    <x v="1"/>
  </r>
  <r>
    <x v="0"/>
    <x v="19"/>
    <x v="19"/>
    <x v="12"/>
    <x v="12"/>
    <x v="12"/>
    <x v="9"/>
    <x v="51"/>
    <x v="291"/>
    <x v="152"/>
    <x v="80"/>
    <x v="85"/>
    <x v="279"/>
    <x v="1"/>
  </r>
  <r>
    <x v="0"/>
    <x v="19"/>
    <x v="19"/>
    <x v="10"/>
    <x v="10"/>
    <x v="10"/>
    <x v="11"/>
    <x v="110"/>
    <x v="117"/>
    <x v="65"/>
    <x v="301"/>
    <x v="69"/>
    <x v="280"/>
    <x v="1"/>
  </r>
  <r>
    <x v="0"/>
    <x v="19"/>
    <x v="19"/>
    <x v="25"/>
    <x v="25"/>
    <x v="25"/>
    <x v="11"/>
    <x v="110"/>
    <x v="117"/>
    <x v="183"/>
    <x v="300"/>
    <x v="46"/>
    <x v="101"/>
    <x v="1"/>
  </r>
  <r>
    <x v="0"/>
    <x v="19"/>
    <x v="19"/>
    <x v="8"/>
    <x v="8"/>
    <x v="8"/>
    <x v="13"/>
    <x v="137"/>
    <x v="210"/>
    <x v="159"/>
    <x v="234"/>
    <x v="194"/>
    <x v="281"/>
    <x v="1"/>
  </r>
  <r>
    <x v="0"/>
    <x v="19"/>
    <x v="19"/>
    <x v="7"/>
    <x v="7"/>
    <x v="7"/>
    <x v="14"/>
    <x v="57"/>
    <x v="13"/>
    <x v="184"/>
    <x v="82"/>
    <x v="81"/>
    <x v="282"/>
    <x v="1"/>
  </r>
  <r>
    <x v="0"/>
    <x v="19"/>
    <x v="19"/>
    <x v="13"/>
    <x v="13"/>
    <x v="13"/>
    <x v="15"/>
    <x v="139"/>
    <x v="54"/>
    <x v="55"/>
    <x v="302"/>
    <x v="46"/>
    <x v="101"/>
    <x v="1"/>
  </r>
  <r>
    <x v="0"/>
    <x v="19"/>
    <x v="19"/>
    <x v="15"/>
    <x v="15"/>
    <x v="15"/>
    <x v="16"/>
    <x v="267"/>
    <x v="292"/>
    <x v="69"/>
    <x v="15"/>
    <x v="90"/>
    <x v="283"/>
    <x v="1"/>
  </r>
  <r>
    <x v="0"/>
    <x v="19"/>
    <x v="19"/>
    <x v="36"/>
    <x v="36"/>
    <x v="36"/>
    <x v="17"/>
    <x v="253"/>
    <x v="259"/>
    <x v="51"/>
    <x v="303"/>
    <x v="101"/>
    <x v="284"/>
    <x v="1"/>
  </r>
  <r>
    <x v="0"/>
    <x v="19"/>
    <x v="19"/>
    <x v="32"/>
    <x v="32"/>
    <x v="32"/>
    <x v="18"/>
    <x v="115"/>
    <x v="293"/>
    <x v="66"/>
    <x v="32"/>
    <x v="180"/>
    <x v="285"/>
    <x v="4"/>
  </r>
  <r>
    <x v="0"/>
    <x v="19"/>
    <x v="19"/>
    <x v="22"/>
    <x v="22"/>
    <x v="22"/>
    <x v="19"/>
    <x v="116"/>
    <x v="294"/>
    <x v="63"/>
    <x v="165"/>
    <x v="183"/>
    <x v="172"/>
    <x v="1"/>
  </r>
  <r>
    <x v="0"/>
    <x v="19"/>
    <x v="19"/>
    <x v="16"/>
    <x v="16"/>
    <x v="16"/>
    <x v="19"/>
    <x v="116"/>
    <x v="294"/>
    <x v="80"/>
    <x v="161"/>
    <x v="188"/>
    <x v="65"/>
    <x v="1"/>
  </r>
  <r>
    <x v="0"/>
    <x v="20"/>
    <x v="20"/>
    <x v="0"/>
    <x v="0"/>
    <x v="0"/>
    <x v="0"/>
    <x v="268"/>
    <x v="295"/>
    <x v="185"/>
    <x v="304"/>
    <x v="71"/>
    <x v="125"/>
    <x v="1"/>
  </r>
  <r>
    <x v="0"/>
    <x v="20"/>
    <x v="20"/>
    <x v="1"/>
    <x v="1"/>
    <x v="1"/>
    <x v="1"/>
    <x v="189"/>
    <x v="296"/>
    <x v="186"/>
    <x v="305"/>
    <x v="107"/>
    <x v="286"/>
    <x v="1"/>
  </r>
  <r>
    <x v="0"/>
    <x v="20"/>
    <x v="20"/>
    <x v="2"/>
    <x v="2"/>
    <x v="2"/>
    <x v="2"/>
    <x v="269"/>
    <x v="297"/>
    <x v="39"/>
    <x v="306"/>
    <x v="196"/>
    <x v="287"/>
    <x v="1"/>
  </r>
  <r>
    <x v="0"/>
    <x v="20"/>
    <x v="20"/>
    <x v="4"/>
    <x v="4"/>
    <x v="4"/>
    <x v="3"/>
    <x v="270"/>
    <x v="185"/>
    <x v="187"/>
    <x v="112"/>
    <x v="197"/>
    <x v="288"/>
    <x v="1"/>
  </r>
  <r>
    <x v="0"/>
    <x v="20"/>
    <x v="20"/>
    <x v="3"/>
    <x v="3"/>
    <x v="3"/>
    <x v="4"/>
    <x v="271"/>
    <x v="298"/>
    <x v="188"/>
    <x v="307"/>
    <x v="198"/>
    <x v="289"/>
    <x v="1"/>
  </r>
  <r>
    <x v="0"/>
    <x v="20"/>
    <x v="20"/>
    <x v="6"/>
    <x v="6"/>
    <x v="6"/>
    <x v="5"/>
    <x v="272"/>
    <x v="299"/>
    <x v="189"/>
    <x v="308"/>
    <x v="55"/>
    <x v="290"/>
    <x v="4"/>
  </r>
  <r>
    <x v="0"/>
    <x v="20"/>
    <x v="20"/>
    <x v="10"/>
    <x v="10"/>
    <x v="10"/>
    <x v="6"/>
    <x v="273"/>
    <x v="300"/>
    <x v="190"/>
    <x v="47"/>
    <x v="199"/>
    <x v="291"/>
    <x v="1"/>
  </r>
  <r>
    <x v="0"/>
    <x v="20"/>
    <x v="20"/>
    <x v="5"/>
    <x v="5"/>
    <x v="5"/>
    <x v="7"/>
    <x v="95"/>
    <x v="66"/>
    <x v="191"/>
    <x v="201"/>
    <x v="95"/>
    <x v="12"/>
    <x v="1"/>
  </r>
  <r>
    <x v="0"/>
    <x v="20"/>
    <x v="20"/>
    <x v="8"/>
    <x v="8"/>
    <x v="8"/>
    <x v="7"/>
    <x v="95"/>
    <x v="66"/>
    <x v="45"/>
    <x v="309"/>
    <x v="104"/>
    <x v="292"/>
    <x v="1"/>
  </r>
  <r>
    <x v="0"/>
    <x v="20"/>
    <x v="20"/>
    <x v="9"/>
    <x v="9"/>
    <x v="9"/>
    <x v="9"/>
    <x v="47"/>
    <x v="301"/>
    <x v="59"/>
    <x v="139"/>
    <x v="200"/>
    <x v="293"/>
    <x v="1"/>
  </r>
  <r>
    <x v="0"/>
    <x v="20"/>
    <x v="20"/>
    <x v="12"/>
    <x v="12"/>
    <x v="12"/>
    <x v="10"/>
    <x v="274"/>
    <x v="302"/>
    <x v="192"/>
    <x v="232"/>
    <x v="71"/>
    <x v="125"/>
    <x v="1"/>
  </r>
  <r>
    <x v="0"/>
    <x v="20"/>
    <x v="20"/>
    <x v="7"/>
    <x v="7"/>
    <x v="7"/>
    <x v="11"/>
    <x v="249"/>
    <x v="303"/>
    <x v="193"/>
    <x v="310"/>
    <x v="99"/>
    <x v="18"/>
    <x v="1"/>
  </r>
  <r>
    <x v="0"/>
    <x v="20"/>
    <x v="20"/>
    <x v="14"/>
    <x v="14"/>
    <x v="14"/>
    <x v="12"/>
    <x v="83"/>
    <x v="160"/>
    <x v="78"/>
    <x v="87"/>
    <x v="82"/>
    <x v="294"/>
    <x v="1"/>
  </r>
  <r>
    <x v="0"/>
    <x v="20"/>
    <x v="20"/>
    <x v="11"/>
    <x v="11"/>
    <x v="11"/>
    <x v="13"/>
    <x v="275"/>
    <x v="103"/>
    <x v="130"/>
    <x v="192"/>
    <x v="95"/>
    <x v="12"/>
    <x v="1"/>
  </r>
  <r>
    <x v="0"/>
    <x v="20"/>
    <x v="20"/>
    <x v="18"/>
    <x v="18"/>
    <x v="18"/>
    <x v="14"/>
    <x v="53"/>
    <x v="304"/>
    <x v="163"/>
    <x v="311"/>
    <x v="86"/>
    <x v="295"/>
    <x v="4"/>
  </r>
  <r>
    <x v="0"/>
    <x v="20"/>
    <x v="20"/>
    <x v="13"/>
    <x v="13"/>
    <x v="13"/>
    <x v="15"/>
    <x v="54"/>
    <x v="15"/>
    <x v="174"/>
    <x v="312"/>
    <x v="71"/>
    <x v="125"/>
    <x v="1"/>
  </r>
  <r>
    <x v="0"/>
    <x v="20"/>
    <x v="20"/>
    <x v="15"/>
    <x v="15"/>
    <x v="15"/>
    <x v="16"/>
    <x v="137"/>
    <x v="238"/>
    <x v="116"/>
    <x v="151"/>
    <x v="112"/>
    <x v="38"/>
    <x v="1"/>
  </r>
  <r>
    <x v="0"/>
    <x v="20"/>
    <x v="20"/>
    <x v="17"/>
    <x v="17"/>
    <x v="17"/>
    <x v="17"/>
    <x v="69"/>
    <x v="16"/>
    <x v="194"/>
    <x v="17"/>
    <x v="69"/>
    <x v="34"/>
    <x v="1"/>
  </r>
  <r>
    <x v="0"/>
    <x v="20"/>
    <x v="20"/>
    <x v="22"/>
    <x v="22"/>
    <x v="22"/>
    <x v="18"/>
    <x v="56"/>
    <x v="19"/>
    <x v="80"/>
    <x v="313"/>
    <x v="105"/>
    <x v="199"/>
    <x v="1"/>
  </r>
  <r>
    <x v="0"/>
    <x v="20"/>
    <x v="20"/>
    <x v="19"/>
    <x v="19"/>
    <x v="19"/>
    <x v="19"/>
    <x v="276"/>
    <x v="74"/>
    <x v="80"/>
    <x v="313"/>
    <x v="63"/>
    <x v="179"/>
    <x v="1"/>
  </r>
  <r>
    <x v="0"/>
    <x v="21"/>
    <x v="21"/>
    <x v="0"/>
    <x v="0"/>
    <x v="0"/>
    <x v="0"/>
    <x v="249"/>
    <x v="305"/>
    <x v="191"/>
    <x v="314"/>
    <x v="192"/>
    <x v="296"/>
    <x v="1"/>
  </r>
  <r>
    <x v="0"/>
    <x v="21"/>
    <x v="21"/>
    <x v="1"/>
    <x v="1"/>
    <x v="1"/>
    <x v="1"/>
    <x v="65"/>
    <x v="306"/>
    <x v="89"/>
    <x v="315"/>
    <x v="180"/>
    <x v="297"/>
    <x v="1"/>
  </r>
  <r>
    <x v="0"/>
    <x v="21"/>
    <x v="21"/>
    <x v="3"/>
    <x v="3"/>
    <x v="3"/>
    <x v="2"/>
    <x v="208"/>
    <x v="307"/>
    <x v="127"/>
    <x v="316"/>
    <x v="103"/>
    <x v="298"/>
    <x v="1"/>
  </r>
  <r>
    <x v="0"/>
    <x v="21"/>
    <x v="21"/>
    <x v="4"/>
    <x v="4"/>
    <x v="4"/>
    <x v="3"/>
    <x v="56"/>
    <x v="308"/>
    <x v="62"/>
    <x v="168"/>
    <x v="72"/>
    <x v="299"/>
    <x v="1"/>
  </r>
  <r>
    <x v="0"/>
    <x v="21"/>
    <x v="21"/>
    <x v="2"/>
    <x v="2"/>
    <x v="2"/>
    <x v="4"/>
    <x v="57"/>
    <x v="309"/>
    <x v="174"/>
    <x v="317"/>
    <x v="67"/>
    <x v="300"/>
    <x v="1"/>
  </r>
  <r>
    <x v="0"/>
    <x v="21"/>
    <x v="21"/>
    <x v="6"/>
    <x v="6"/>
    <x v="6"/>
    <x v="5"/>
    <x v="103"/>
    <x v="277"/>
    <x v="100"/>
    <x v="318"/>
    <x v="180"/>
    <x v="297"/>
    <x v="1"/>
  </r>
  <r>
    <x v="0"/>
    <x v="21"/>
    <x v="21"/>
    <x v="5"/>
    <x v="5"/>
    <x v="5"/>
    <x v="6"/>
    <x v="277"/>
    <x v="310"/>
    <x v="93"/>
    <x v="319"/>
    <x v="181"/>
    <x v="258"/>
    <x v="1"/>
  </r>
  <r>
    <x v="0"/>
    <x v="21"/>
    <x v="21"/>
    <x v="12"/>
    <x v="12"/>
    <x v="12"/>
    <x v="7"/>
    <x v="73"/>
    <x v="47"/>
    <x v="50"/>
    <x v="320"/>
    <x v="188"/>
    <x v="301"/>
    <x v="1"/>
  </r>
  <r>
    <x v="0"/>
    <x v="21"/>
    <x v="21"/>
    <x v="9"/>
    <x v="9"/>
    <x v="9"/>
    <x v="8"/>
    <x v="252"/>
    <x v="311"/>
    <x v="82"/>
    <x v="321"/>
    <x v="46"/>
    <x v="302"/>
    <x v="1"/>
  </r>
  <r>
    <x v="0"/>
    <x v="21"/>
    <x v="21"/>
    <x v="10"/>
    <x v="10"/>
    <x v="10"/>
    <x v="9"/>
    <x v="74"/>
    <x v="312"/>
    <x v="54"/>
    <x v="322"/>
    <x v="85"/>
    <x v="303"/>
    <x v="1"/>
  </r>
  <r>
    <x v="0"/>
    <x v="21"/>
    <x v="21"/>
    <x v="11"/>
    <x v="11"/>
    <x v="11"/>
    <x v="10"/>
    <x v="229"/>
    <x v="66"/>
    <x v="82"/>
    <x v="321"/>
    <x v="183"/>
    <x v="304"/>
    <x v="1"/>
  </r>
  <r>
    <x v="0"/>
    <x v="21"/>
    <x v="21"/>
    <x v="8"/>
    <x v="8"/>
    <x v="8"/>
    <x v="11"/>
    <x v="114"/>
    <x v="313"/>
    <x v="50"/>
    <x v="320"/>
    <x v="101"/>
    <x v="305"/>
    <x v="1"/>
  </r>
  <r>
    <x v="0"/>
    <x v="21"/>
    <x v="21"/>
    <x v="15"/>
    <x v="15"/>
    <x v="15"/>
    <x v="12"/>
    <x v="116"/>
    <x v="314"/>
    <x v="69"/>
    <x v="118"/>
    <x v="62"/>
    <x v="306"/>
    <x v="1"/>
  </r>
  <r>
    <x v="0"/>
    <x v="21"/>
    <x v="21"/>
    <x v="13"/>
    <x v="13"/>
    <x v="13"/>
    <x v="13"/>
    <x v="278"/>
    <x v="34"/>
    <x v="66"/>
    <x v="323"/>
    <x v="182"/>
    <x v="227"/>
    <x v="1"/>
  </r>
  <r>
    <x v="0"/>
    <x v="21"/>
    <x v="21"/>
    <x v="7"/>
    <x v="7"/>
    <x v="7"/>
    <x v="14"/>
    <x v="254"/>
    <x v="56"/>
    <x v="47"/>
    <x v="324"/>
    <x v="201"/>
    <x v="307"/>
    <x v="1"/>
  </r>
  <r>
    <x v="0"/>
    <x v="21"/>
    <x v="21"/>
    <x v="28"/>
    <x v="28"/>
    <x v="28"/>
    <x v="15"/>
    <x v="256"/>
    <x v="135"/>
    <x v="103"/>
    <x v="195"/>
    <x v="181"/>
    <x v="258"/>
    <x v="4"/>
  </r>
  <r>
    <x v="0"/>
    <x v="21"/>
    <x v="21"/>
    <x v="17"/>
    <x v="17"/>
    <x v="17"/>
    <x v="16"/>
    <x v="258"/>
    <x v="137"/>
    <x v="103"/>
    <x v="195"/>
    <x v="97"/>
    <x v="308"/>
    <x v="1"/>
  </r>
  <r>
    <x v="0"/>
    <x v="21"/>
    <x v="21"/>
    <x v="31"/>
    <x v="31"/>
    <x v="31"/>
    <x v="16"/>
    <x v="258"/>
    <x v="137"/>
    <x v="70"/>
    <x v="266"/>
    <x v="101"/>
    <x v="305"/>
    <x v="1"/>
  </r>
  <r>
    <x v="0"/>
    <x v="21"/>
    <x v="21"/>
    <x v="19"/>
    <x v="19"/>
    <x v="19"/>
    <x v="18"/>
    <x v="259"/>
    <x v="315"/>
    <x v="103"/>
    <x v="195"/>
    <x v="182"/>
    <x v="227"/>
    <x v="1"/>
  </r>
  <r>
    <x v="0"/>
    <x v="21"/>
    <x v="21"/>
    <x v="14"/>
    <x v="14"/>
    <x v="14"/>
    <x v="18"/>
    <x v="259"/>
    <x v="315"/>
    <x v="53"/>
    <x v="325"/>
    <x v="101"/>
    <x v="305"/>
    <x v="1"/>
  </r>
  <r>
    <x v="0"/>
    <x v="21"/>
    <x v="21"/>
    <x v="18"/>
    <x v="18"/>
    <x v="18"/>
    <x v="18"/>
    <x v="259"/>
    <x v="315"/>
    <x v="63"/>
    <x v="326"/>
    <x v="201"/>
    <x v="307"/>
    <x v="1"/>
  </r>
  <r>
    <x v="0"/>
    <x v="22"/>
    <x v="22"/>
    <x v="36"/>
    <x v="36"/>
    <x v="36"/>
    <x v="0"/>
    <x v="120"/>
    <x v="316"/>
    <x v="195"/>
    <x v="327"/>
    <x v="40"/>
    <x v="309"/>
    <x v="1"/>
  </r>
  <r>
    <x v="0"/>
    <x v="22"/>
    <x v="22"/>
    <x v="0"/>
    <x v="0"/>
    <x v="0"/>
    <x v="1"/>
    <x v="238"/>
    <x v="59"/>
    <x v="196"/>
    <x v="328"/>
    <x v="97"/>
    <x v="310"/>
    <x v="4"/>
  </r>
  <r>
    <x v="0"/>
    <x v="22"/>
    <x v="22"/>
    <x v="1"/>
    <x v="1"/>
    <x v="1"/>
    <x v="2"/>
    <x v="279"/>
    <x v="317"/>
    <x v="197"/>
    <x v="329"/>
    <x v="183"/>
    <x v="185"/>
    <x v="1"/>
  </r>
  <r>
    <x v="0"/>
    <x v="22"/>
    <x v="22"/>
    <x v="3"/>
    <x v="3"/>
    <x v="3"/>
    <x v="3"/>
    <x v="84"/>
    <x v="252"/>
    <x v="198"/>
    <x v="330"/>
    <x v="53"/>
    <x v="311"/>
    <x v="1"/>
  </r>
  <r>
    <x v="0"/>
    <x v="22"/>
    <x v="22"/>
    <x v="4"/>
    <x v="4"/>
    <x v="4"/>
    <x v="4"/>
    <x v="85"/>
    <x v="318"/>
    <x v="50"/>
    <x v="331"/>
    <x v="112"/>
    <x v="312"/>
    <x v="1"/>
  </r>
  <r>
    <x v="0"/>
    <x v="22"/>
    <x v="22"/>
    <x v="12"/>
    <x v="12"/>
    <x v="12"/>
    <x v="5"/>
    <x v="276"/>
    <x v="256"/>
    <x v="171"/>
    <x v="107"/>
    <x v="87"/>
    <x v="153"/>
    <x v="1"/>
  </r>
  <r>
    <x v="0"/>
    <x v="22"/>
    <x v="22"/>
    <x v="9"/>
    <x v="9"/>
    <x v="9"/>
    <x v="6"/>
    <x v="280"/>
    <x v="312"/>
    <x v="99"/>
    <x v="332"/>
    <x v="104"/>
    <x v="313"/>
    <x v="1"/>
  </r>
  <r>
    <x v="0"/>
    <x v="22"/>
    <x v="22"/>
    <x v="2"/>
    <x v="2"/>
    <x v="2"/>
    <x v="7"/>
    <x v="73"/>
    <x v="148"/>
    <x v="179"/>
    <x v="131"/>
    <x v="56"/>
    <x v="314"/>
    <x v="1"/>
  </r>
  <r>
    <x v="0"/>
    <x v="22"/>
    <x v="22"/>
    <x v="5"/>
    <x v="5"/>
    <x v="5"/>
    <x v="8"/>
    <x v="228"/>
    <x v="319"/>
    <x v="100"/>
    <x v="333"/>
    <x v="101"/>
    <x v="315"/>
    <x v="4"/>
  </r>
  <r>
    <x v="0"/>
    <x v="22"/>
    <x v="22"/>
    <x v="6"/>
    <x v="6"/>
    <x v="6"/>
    <x v="9"/>
    <x v="240"/>
    <x v="158"/>
    <x v="68"/>
    <x v="263"/>
    <x v="180"/>
    <x v="179"/>
    <x v="1"/>
  </r>
  <r>
    <x v="0"/>
    <x v="22"/>
    <x v="22"/>
    <x v="7"/>
    <x v="7"/>
    <x v="7"/>
    <x v="10"/>
    <x v="229"/>
    <x v="50"/>
    <x v="194"/>
    <x v="334"/>
    <x v="97"/>
    <x v="310"/>
    <x v="1"/>
  </r>
  <r>
    <x v="0"/>
    <x v="22"/>
    <x v="22"/>
    <x v="10"/>
    <x v="10"/>
    <x v="10"/>
    <x v="11"/>
    <x v="113"/>
    <x v="101"/>
    <x v="68"/>
    <x v="263"/>
    <x v="81"/>
    <x v="87"/>
    <x v="1"/>
  </r>
  <r>
    <x v="0"/>
    <x v="22"/>
    <x v="22"/>
    <x v="11"/>
    <x v="11"/>
    <x v="11"/>
    <x v="12"/>
    <x v="142"/>
    <x v="320"/>
    <x v="110"/>
    <x v="139"/>
    <x v="180"/>
    <x v="179"/>
    <x v="4"/>
  </r>
  <r>
    <x v="0"/>
    <x v="22"/>
    <x v="22"/>
    <x v="17"/>
    <x v="17"/>
    <x v="17"/>
    <x v="13"/>
    <x v="116"/>
    <x v="71"/>
    <x v="37"/>
    <x v="335"/>
    <x v="185"/>
    <x v="316"/>
    <x v="1"/>
  </r>
  <r>
    <x v="0"/>
    <x v="22"/>
    <x v="22"/>
    <x v="8"/>
    <x v="8"/>
    <x v="8"/>
    <x v="13"/>
    <x v="116"/>
    <x v="71"/>
    <x v="75"/>
    <x v="336"/>
    <x v="201"/>
    <x v="317"/>
    <x v="1"/>
  </r>
  <r>
    <x v="0"/>
    <x v="22"/>
    <x v="22"/>
    <x v="29"/>
    <x v="29"/>
    <x v="29"/>
    <x v="15"/>
    <x v="126"/>
    <x v="321"/>
    <x v="80"/>
    <x v="337"/>
    <x v="91"/>
    <x v="109"/>
    <x v="1"/>
  </r>
  <r>
    <x v="0"/>
    <x v="22"/>
    <x v="22"/>
    <x v="13"/>
    <x v="13"/>
    <x v="13"/>
    <x v="16"/>
    <x v="231"/>
    <x v="322"/>
    <x v="66"/>
    <x v="217"/>
    <x v="84"/>
    <x v="318"/>
    <x v="1"/>
  </r>
  <r>
    <x v="0"/>
    <x v="22"/>
    <x v="22"/>
    <x v="30"/>
    <x v="30"/>
    <x v="30"/>
    <x v="17"/>
    <x v="232"/>
    <x v="151"/>
    <x v="47"/>
    <x v="338"/>
    <x v="97"/>
    <x v="310"/>
    <x v="1"/>
  </r>
  <r>
    <x v="0"/>
    <x v="22"/>
    <x v="22"/>
    <x v="37"/>
    <x v="37"/>
    <x v="37"/>
    <x v="18"/>
    <x v="242"/>
    <x v="162"/>
    <x v="66"/>
    <x v="217"/>
    <x v="184"/>
    <x v="319"/>
    <x v="1"/>
  </r>
  <r>
    <x v="0"/>
    <x v="22"/>
    <x v="22"/>
    <x v="22"/>
    <x v="22"/>
    <x v="22"/>
    <x v="19"/>
    <x v="234"/>
    <x v="18"/>
    <x v="56"/>
    <x v="194"/>
    <x v="113"/>
    <x v="7"/>
    <x v="1"/>
  </r>
  <r>
    <x v="0"/>
    <x v="23"/>
    <x v="23"/>
    <x v="2"/>
    <x v="2"/>
    <x v="2"/>
    <x v="0"/>
    <x v="281"/>
    <x v="323"/>
    <x v="115"/>
    <x v="296"/>
    <x v="202"/>
    <x v="320"/>
    <x v="4"/>
  </r>
  <r>
    <x v="0"/>
    <x v="23"/>
    <x v="23"/>
    <x v="1"/>
    <x v="1"/>
    <x v="1"/>
    <x v="1"/>
    <x v="282"/>
    <x v="324"/>
    <x v="199"/>
    <x v="339"/>
    <x v="89"/>
    <x v="128"/>
    <x v="1"/>
  </r>
  <r>
    <x v="0"/>
    <x v="23"/>
    <x v="23"/>
    <x v="0"/>
    <x v="0"/>
    <x v="0"/>
    <x v="2"/>
    <x v="283"/>
    <x v="325"/>
    <x v="200"/>
    <x v="340"/>
    <x v="102"/>
    <x v="87"/>
    <x v="1"/>
  </r>
  <r>
    <x v="0"/>
    <x v="23"/>
    <x v="23"/>
    <x v="4"/>
    <x v="4"/>
    <x v="4"/>
    <x v="3"/>
    <x v="197"/>
    <x v="166"/>
    <x v="64"/>
    <x v="341"/>
    <x v="203"/>
    <x v="321"/>
    <x v="1"/>
  </r>
  <r>
    <x v="0"/>
    <x v="23"/>
    <x v="23"/>
    <x v="3"/>
    <x v="3"/>
    <x v="3"/>
    <x v="4"/>
    <x v="182"/>
    <x v="326"/>
    <x v="76"/>
    <x v="342"/>
    <x v="64"/>
    <x v="162"/>
    <x v="1"/>
  </r>
  <r>
    <x v="0"/>
    <x v="23"/>
    <x v="23"/>
    <x v="6"/>
    <x v="6"/>
    <x v="6"/>
    <x v="5"/>
    <x v="184"/>
    <x v="327"/>
    <x v="61"/>
    <x v="343"/>
    <x v="95"/>
    <x v="215"/>
    <x v="4"/>
  </r>
  <r>
    <x v="0"/>
    <x v="23"/>
    <x v="23"/>
    <x v="8"/>
    <x v="8"/>
    <x v="8"/>
    <x v="6"/>
    <x v="131"/>
    <x v="328"/>
    <x v="201"/>
    <x v="344"/>
    <x v="62"/>
    <x v="322"/>
    <x v="1"/>
  </r>
  <r>
    <x v="0"/>
    <x v="23"/>
    <x v="23"/>
    <x v="7"/>
    <x v="7"/>
    <x v="7"/>
    <x v="7"/>
    <x v="163"/>
    <x v="6"/>
    <x v="48"/>
    <x v="345"/>
    <x v="54"/>
    <x v="323"/>
    <x v="1"/>
  </r>
  <r>
    <x v="0"/>
    <x v="23"/>
    <x v="23"/>
    <x v="5"/>
    <x v="5"/>
    <x v="5"/>
    <x v="8"/>
    <x v="164"/>
    <x v="329"/>
    <x v="202"/>
    <x v="140"/>
    <x v="57"/>
    <x v="233"/>
    <x v="1"/>
  </r>
  <r>
    <x v="0"/>
    <x v="23"/>
    <x v="23"/>
    <x v="9"/>
    <x v="9"/>
    <x v="9"/>
    <x v="9"/>
    <x v="222"/>
    <x v="117"/>
    <x v="94"/>
    <x v="13"/>
    <x v="52"/>
    <x v="220"/>
    <x v="1"/>
  </r>
  <r>
    <x v="0"/>
    <x v="23"/>
    <x v="23"/>
    <x v="10"/>
    <x v="10"/>
    <x v="10"/>
    <x v="10"/>
    <x v="98"/>
    <x v="172"/>
    <x v="47"/>
    <x v="346"/>
    <x v="111"/>
    <x v="324"/>
    <x v="1"/>
  </r>
  <r>
    <x v="0"/>
    <x v="23"/>
    <x v="23"/>
    <x v="11"/>
    <x v="11"/>
    <x v="11"/>
    <x v="11"/>
    <x v="67"/>
    <x v="158"/>
    <x v="184"/>
    <x v="126"/>
    <x v="102"/>
    <x v="87"/>
    <x v="1"/>
  </r>
  <r>
    <x v="0"/>
    <x v="23"/>
    <x v="23"/>
    <x v="12"/>
    <x v="12"/>
    <x v="12"/>
    <x v="12"/>
    <x v="284"/>
    <x v="149"/>
    <x v="203"/>
    <x v="286"/>
    <x v="77"/>
    <x v="12"/>
    <x v="1"/>
  </r>
  <r>
    <x v="0"/>
    <x v="23"/>
    <x v="23"/>
    <x v="14"/>
    <x v="14"/>
    <x v="14"/>
    <x v="13"/>
    <x v="86"/>
    <x v="175"/>
    <x v="47"/>
    <x v="346"/>
    <x v="61"/>
    <x v="325"/>
    <x v="1"/>
  </r>
  <r>
    <x v="0"/>
    <x v="23"/>
    <x v="23"/>
    <x v="13"/>
    <x v="13"/>
    <x v="13"/>
    <x v="14"/>
    <x v="55"/>
    <x v="330"/>
    <x v="15"/>
    <x v="34"/>
    <x v="66"/>
    <x v="86"/>
    <x v="1"/>
  </r>
  <r>
    <x v="0"/>
    <x v="23"/>
    <x v="23"/>
    <x v="20"/>
    <x v="20"/>
    <x v="20"/>
    <x v="15"/>
    <x v="58"/>
    <x v="107"/>
    <x v="69"/>
    <x v="69"/>
    <x v="105"/>
    <x v="173"/>
    <x v="4"/>
  </r>
  <r>
    <x v="0"/>
    <x v="23"/>
    <x v="23"/>
    <x v="15"/>
    <x v="15"/>
    <x v="15"/>
    <x v="16"/>
    <x v="71"/>
    <x v="37"/>
    <x v="116"/>
    <x v="151"/>
    <x v="57"/>
    <x v="233"/>
    <x v="1"/>
  </r>
  <r>
    <x v="0"/>
    <x v="23"/>
    <x v="23"/>
    <x v="18"/>
    <x v="18"/>
    <x v="18"/>
    <x v="17"/>
    <x v="112"/>
    <x v="72"/>
    <x v="110"/>
    <x v="203"/>
    <x v="68"/>
    <x v="326"/>
    <x v="1"/>
  </r>
  <r>
    <x v="0"/>
    <x v="23"/>
    <x v="23"/>
    <x v="27"/>
    <x v="27"/>
    <x v="27"/>
    <x v="18"/>
    <x v="72"/>
    <x v="331"/>
    <x v="103"/>
    <x v="268"/>
    <x v="72"/>
    <x v="143"/>
    <x v="1"/>
  </r>
  <r>
    <x v="0"/>
    <x v="23"/>
    <x v="23"/>
    <x v="19"/>
    <x v="19"/>
    <x v="19"/>
    <x v="19"/>
    <x v="229"/>
    <x v="225"/>
    <x v="53"/>
    <x v="19"/>
    <x v="99"/>
    <x v="159"/>
    <x v="1"/>
  </r>
  <r>
    <x v="0"/>
    <x v="24"/>
    <x v="24"/>
    <x v="0"/>
    <x v="0"/>
    <x v="0"/>
    <x v="0"/>
    <x v="246"/>
    <x v="332"/>
    <x v="204"/>
    <x v="347"/>
    <x v="185"/>
    <x v="327"/>
    <x v="1"/>
  </r>
  <r>
    <x v="0"/>
    <x v="24"/>
    <x v="24"/>
    <x v="1"/>
    <x v="1"/>
    <x v="1"/>
    <x v="1"/>
    <x v="207"/>
    <x v="333"/>
    <x v="181"/>
    <x v="348"/>
    <x v="183"/>
    <x v="328"/>
    <x v="1"/>
  </r>
  <r>
    <x v="0"/>
    <x v="24"/>
    <x v="24"/>
    <x v="17"/>
    <x v="17"/>
    <x v="17"/>
    <x v="2"/>
    <x v="285"/>
    <x v="334"/>
    <x v="177"/>
    <x v="172"/>
    <x v="51"/>
    <x v="329"/>
    <x v="1"/>
  </r>
  <r>
    <x v="0"/>
    <x v="24"/>
    <x v="24"/>
    <x v="4"/>
    <x v="4"/>
    <x v="4"/>
    <x v="3"/>
    <x v="48"/>
    <x v="335"/>
    <x v="205"/>
    <x v="349"/>
    <x v="50"/>
    <x v="330"/>
    <x v="1"/>
  </r>
  <r>
    <x v="0"/>
    <x v="24"/>
    <x v="24"/>
    <x v="3"/>
    <x v="3"/>
    <x v="3"/>
    <x v="4"/>
    <x v="83"/>
    <x v="336"/>
    <x v="59"/>
    <x v="350"/>
    <x v="66"/>
    <x v="76"/>
    <x v="4"/>
  </r>
  <r>
    <x v="0"/>
    <x v="24"/>
    <x v="24"/>
    <x v="16"/>
    <x v="16"/>
    <x v="16"/>
    <x v="5"/>
    <x v="167"/>
    <x v="337"/>
    <x v="51"/>
    <x v="351"/>
    <x v="90"/>
    <x v="331"/>
    <x v="1"/>
  </r>
  <r>
    <x v="0"/>
    <x v="24"/>
    <x v="24"/>
    <x v="6"/>
    <x v="6"/>
    <x v="6"/>
    <x v="5"/>
    <x v="167"/>
    <x v="337"/>
    <x v="203"/>
    <x v="352"/>
    <x v="104"/>
    <x v="212"/>
    <x v="1"/>
  </r>
  <r>
    <x v="0"/>
    <x v="24"/>
    <x v="24"/>
    <x v="12"/>
    <x v="12"/>
    <x v="12"/>
    <x v="7"/>
    <x v="138"/>
    <x v="66"/>
    <x v="171"/>
    <x v="353"/>
    <x v="73"/>
    <x v="20"/>
    <x v="1"/>
  </r>
  <r>
    <x v="0"/>
    <x v="24"/>
    <x v="24"/>
    <x v="5"/>
    <x v="5"/>
    <x v="5"/>
    <x v="8"/>
    <x v="70"/>
    <x v="95"/>
    <x v="81"/>
    <x v="354"/>
    <x v="84"/>
    <x v="229"/>
    <x v="4"/>
  </r>
  <r>
    <x v="0"/>
    <x v="24"/>
    <x v="24"/>
    <x v="9"/>
    <x v="9"/>
    <x v="9"/>
    <x v="9"/>
    <x v="286"/>
    <x v="10"/>
    <x v="51"/>
    <x v="351"/>
    <x v="204"/>
    <x v="171"/>
    <x v="1"/>
  </r>
  <r>
    <x v="0"/>
    <x v="24"/>
    <x v="24"/>
    <x v="10"/>
    <x v="10"/>
    <x v="10"/>
    <x v="10"/>
    <x v="90"/>
    <x v="303"/>
    <x v="194"/>
    <x v="178"/>
    <x v="204"/>
    <x v="171"/>
    <x v="1"/>
  </r>
  <r>
    <x v="0"/>
    <x v="24"/>
    <x v="24"/>
    <x v="2"/>
    <x v="2"/>
    <x v="2"/>
    <x v="11"/>
    <x v="71"/>
    <x v="132"/>
    <x v="63"/>
    <x v="197"/>
    <x v="70"/>
    <x v="332"/>
    <x v="1"/>
  </r>
  <r>
    <x v="0"/>
    <x v="24"/>
    <x v="24"/>
    <x v="8"/>
    <x v="8"/>
    <x v="8"/>
    <x v="11"/>
    <x v="71"/>
    <x v="132"/>
    <x v="38"/>
    <x v="355"/>
    <x v="186"/>
    <x v="333"/>
    <x v="1"/>
  </r>
  <r>
    <x v="0"/>
    <x v="24"/>
    <x v="24"/>
    <x v="11"/>
    <x v="11"/>
    <x v="11"/>
    <x v="13"/>
    <x v="141"/>
    <x v="338"/>
    <x v="133"/>
    <x v="356"/>
    <x v="113"/>
    <x v="166"/>
    <x v="1"/>
  </r>
  <r>
    <x v="0"/>
    <x v="24"/>
    <x v="24"/>
    <x v="19"/>
    <x v="19"/>
    <x v="19"/>
    <x v="14"/>
    <x v="113"/>
    <x v="339"/>
    <x v="54"/>
    <x v="66"/>
    <x v="46"/>
    <x v="313"/>
    <x v="1"/>
  </r>
  <r>
    <x v="0"/>
    <x v="24"/>
    <x v="24"/>
    <x v="30"/>
    <x v="30"/>
    <x v="30"/>
    <x v="15"/>
    <x v="125"/>
    <x v="211"/>
    <x v="194"/>
    <x v="178"/>
    <x v="186"/>
    <x v="333"/>
    <x v="1"/>
  </r>
  <r>
    <x v="0"/>
    <x v="24"/>
    <x v="24"/>
    <x v="7"/>
    <x v="7"/>
    <x v="7"/>
    <x v="16"/>
    <x v="287"/>
    <x v="151"/>
    <x v="94"/>
    <x v="357"/>
    <x v="97"/>
    <x v="334"/>
    <x v="1"/>
  </r>
  <r>
    <x v="0"/>
    <x v="24"/>
    <x v="24"/>
    <x v="26"/>
    <x v="26"/>
    <x v="26"/>
    <x v="17"/>
    <x v="126"/>
    <x v="292"/>
    <x v="179"/>
    <x v="312"/>
    <x v="192"/>
    <x v="335"/>
    <x v="1"/>
  </r>
  <r>
    <x v="0"/>
    <x v="24"/>
    <x v="24"/>
    <x v="38"/>
    <x v="38"/>
    <x v="38"/>
    <x v="18"/>
    <x v="230"/>
    <x v="162"/>
    <x v="37"/>
    <x v="222"/>
    <x v="84"/>
    <x v="229"/>
    <x v="1"/>
  </r>
  <r>
    <x v="0"/>
    <x v="24"/>
    <x v="24"/>
    <x v="22"/>
    <x v="22"/>
    <x v="22"/>
    <x v="19"/>
    <x v="241"/>
    <x v="16"/>
    <x v="63"/>
    <x v="197"/>
    <x v="91"/>
    <x v="154"/>
    <x v="1"/>
  </r>
  <r>
    <x v="0"/>
    <x v="24"/>
    <x v="24"/>
    <x v="27"/>
    <x v="27"/>
    <x v="27"/>
    <x v="19"/>
    <x v="241"/>
    <x v="16"/>
    <x v="53"/>
    <x v="313"/>
    <x v="62"/>
    <x v="186"/>
    <x v="1"/>
  </r>
  <r>
    <x v="0"/>
    <x v="24"/>
    <x v="24"/>
    <x v="13"/>
    <x v="13"/>
    <x v="13"/>
    <x v="19"/>
    <x v="241"/>
    <x v="16"/>
    <x v="82"/>
    <x v="358"/>
    <x v="97"/>
    <x v="334"/>
    <x v="1"/>
  </r>
  <r>
    <x v="0"/>
    <x v="24"/>
    <x v="24"/>
    <x v="15"/>
    <x v="15"/>
    <x v="15"/>
    <x v="19"/>
    <x v="241"/>
    <x v="16"/>
    <x v="116"/>
    <x v="151"/>
    <x v="87"/>
    <x v="336"/>
    <x v="1"/>
  </r>
  <r>
    <x v="0"/>
    <x v="25"/>
    <x v="25"/>
    <x v="0"/>
    <x v="0"/>
    <x v="0"/>
    <x v="0"/>
    <x v="288"/>
    <x v="340"/>
    <x v="206"/>
    <x v="359"/>
    <x v="81"/>
    <x v="269"/>
    <x v="1"/>
  </r>
  <r>
    <x v="0"/>
    <x v="25"/>
    <x v="25"/>
    <x v="1"/>
    <x v="1"/>
    <x v="1"/>
    <x v="1"/>
    <x v="182"/>
    <x v="332"/>
    <x v="96"/>
    <x v="360"/>
    <x v="110"/>
    <x v="337"/>
    <x v="1"/>
  </r>
  <r>
    <x v="0"/>
    <x v="25"/>
    <x v="25"/>
    <x v="2"/>
    <x v="2"/>
    <x v="2"/>
    <x v="2"/>
    <x v="133"/>
    <x v="341"/>
    <x v="205"/>
    <x v="361"/>
    <x v="47"/>
    <x v="338"/>
    <x v="1"/>
  </r>
  <r>
    <x v="0"/>
    <x v="25"/>
    <x v="25"/>
    <x v="4"/>
    <x v="4"/>
    <x v="4"/>
    <x v="3"/>
    <x v="66"/>
    <x v="318"/>
    <x v="110"/>
    <x v="362"/>
    <x v="205"/>
    <x v="339"/>
    <x v="1"/>
  </r>
  <r>
    <x v="0"/>
    <x v="25"/>
    <x v="25"/>
    <x v="6"/>
    <x v="6"/>
    <x v="6"/>
    <x v="4"/>
    <x v="83"/>
    <x v="342"/>
    <x v="207"/>
    <x v="363"/>
    <x v="62"/>
    <x v="56"/>
    <x v="1"/>
  </r>
  <r>
    <x v="0"/>
    <x v="25"/>
    <x v="25"/>
    <x v="3"/>
    <x v="3"/>
    <x v="3"/>
    <x v="5"/>
    <x v="275"/>
    <x v="336"/>
    <x v="198"/>
    <x v="364"/>
    <x v="57"/>
    <x v="340"/>
    <x v="1"/>
  </r>
  <r>
    <x v="0"/>
    <x v="25"/>
    <x v="25"/>
    <x v="10"/>
    <x v="10"/>
    <x v="10"/>
    <x v="6"/>
    <x v="289"/>
    <x v="343"/>
    <x v="78"/>
    <x v="365"/>
    <x v="206"/>
    <x v="341"/>
    <x v="1"/>
  </r>
  <r>
    <x v="0"/>
    <x v="25"/>
    <x v="25"/>
    <x v="5"/>
    <x v="5"/>
    <x v="5"/>
    <x v="7"/>
    <x v="67"/>
    <x v="344"/>
    <x v="183"/>
    <x v="174"/>
    <x v="104"/>
    <x v="342"/>
    <x v="1"/>
  </r>
  <r>
    <x v="0"/>
    <x v="25"/>
    <x v="25"/>
    <x v="9"/>
    <x v="9"/>
    <x v="9"/>
    <x v="8"/>
    <x v="137"/>
    <x v="26"/>
    <x v="133"/>
    <x v="366"/>
    <x v="70"/>
    <x v="343"/>
    <x v="1"/>
  </r>
  <r>
    <x v="0"/>
    <x v="25"/>
    <x v="25"/>
    <x v="7"/>
    <x v="7"/>
    <x v="7"/>
    <x v="9"/>
    <x v="112"/>
    <x v="158"/>
    <x v="208"/>
    <x v="367"/>
    <x v="81"/>
    <x v="269"/>
    <x v="1"/>
  </r>
  <r>
    <x v="0"/>
    <x v="25"/>
    <x v="25"/>
    <x v="12"/>
    <x v="12"/>
    <x v="12"/>
    <x v="10"/>
    <x v="251"/>
    <x v="99"/>
    <x v="51"/>
    <x v="299"/>
    <x v="192"/>
    <x v="318"/>
    <x v="1"/>
  </r>
  <r>
    <x v="0"/>
    <x v="25"/>
    <x v="25"/>
    <x v="8"/>
    <x v="8"/>
    <x v="8"/>
    <x v="11"/>
    <x v="140"/>
    <x v="30"/>
    <x v="91"/>
    <x v="368"/>
    <x v="186"/>
    <x v="333"/>
    <x v="1"/>
  </r>
  <r>
    <x v="0"/>
    <x v="25"/>
    <x v="25"/>
    <x v="11"/>
    <x v="11"/>
    <x v="11"/>
    <x v="12"/>
    <x v="228"/>
    <x v="345"/>
    <x v="101"/>
    <x v="111"/>
    <x v="81"/>
    <x v="269"/>
    <x v="1"/>
  </r>
  <r>
    <x v="0"/>
    <x v="25"/>
    <x v="25"/>
    <x v="13"/>
    <x v="13"/>
    <x v="13"/>
    <x v="13"/>
    <x v="74"/>
    <x v="103"/>
    <x v="66"/>
    <x v="369"/>
    <x v="46"/>
    <x v="344"/>
    <x v="1"/>
  </r>
  <r>
    <x v="0"/>
    <x v="25"/>
    <x v="25"/>
    <x v="18"/>
    <x v="18"/>
    <x v="18"/>
    <x v="14"/>
    <x v="115"/>
    <x v="86"/>
    <x v="78"/>
    <x v="365"/>
    <x v="97"/>
    <x v="345"/>
    <x v="1"/>
  </r>
  <r>
    <x v="0"/>
    <x v="25"/>
    <x v="25"/>
    <x v="14"/>
    <x v="14"/>
    <x v="14"/>
    <x v="15"/>
    <x v="116"/>
    <x v="38"/>
    <x v="80"/>
    <x v="370"/>
    <x v="188"/>
    <x v="181"/>
    <x v="1"/>
  </r>
  <r>
    <x v="0"/>
    <x v="25"/>
    <x v="25"/>
    <x v="22"/>
    <x v="22"/>
    <x v="22"/>
    <x v="16"/>
    <x v="232"/>
    <x v="259"/>
    <x v="63"/>
    <x v="371"/>
    <x v="192"/>
    <x v="318"/>
    <x v="1"/>
  </r>
  <r>
    <x v="0"/>
    <x v="25"/>
    <x v="25"/>
    <x v="17"/>
    <x v="17"/>
    <x v="17"/>
    <x v="17"/>
    <x v="233"/>
    <x v="135"/>
    <x v="102"/>
    <x v="16"/>
    <x v="113"/>
    <x v="346"/>
    <x v="1"/>
  </r>
  <r>
    <x v="0"/>
    <x v="25"/>
    <x v="25"/>
    <x v="33"/>
    <x v="33"/>
    <x v="33"/>
    <x v="18"/>
    <x v="242"/>
    <x v="163"/>
    <x v="53"/>
    <x v="165"/>
    <x v="192"/>
    <x v="318"/>
    <x v="1"/>
  </r>
  <r>
    <x v="0"/>
    <x v="25"/>
    <x v="25"/>
    <x v="30"/>
    <x v="30"/>
    <x v="30"/>
    <x v="18"/>
    <x v="242"/>
    <x v="163"/>
    <x v="179"/>
    <x v="372"/>
    <x v="182"/>
    <x v="347"/>
    <x v="1"/>
  </r>
  <r>
    <x v="0"/>
    <x v="26"/>
    <x v="26"/>
    <x v="1"/>
    <x v="1"/>
    <x v="1"/>
    <x v="0"/>
    <x v="128"/>
    <x v="346"/>
    <x v="162"/>
    <x v="373"/>
    <x v="57"/>
    <x v="348"/>
    <x v="1"/>
  </r>
  <r>
    <x v="0"/>
    <x v="26"/>
    <x v="26"/>
    <x v="2"/>
    <x v="2"/>
    <x v="2"/>
    <x v="1"/>
    <x v="290"/>
    <x v="347"/>
    <x v="209"/>
    <x v="122"/>
    <x v="196"/>
    <x v="349"/>
    <x v="4"/>
  </r>
  <r>
    <x v="0"/>
    <x v="26"/>
    <x v="26"/>
    <x v="0"/>
    <x v="0"/>
    <x v="0"/>
    <x v="1"/>
    <x v="290"/>
    <x v="347"/>
    <x v="210"/>
    <x v="374"/>
    <x v="85"/>
    <x v="198"/>
    <x v="1"/>
  </r>
  <r>
    <x v="0"/>
    <x v="26"/>
    <x v="26"/>
    <x v="3"/>
    <x v="3"/>
    <x v="3"/>
    <x v="3"/>
    <x v="238"/>
    <x v="348"/>
    <x v="77"/>
    <x v="375"/>
    <x v="61"/>
    <x v="350"/>
    <x v="8"/>
  </r>
  <r>
    <x v="0"/>
    <x v="26"/>
    <x v="26"/>
    <x v="4"/>
    <x v="4"/>
    <x v="4"/>
    <x v="4"/>
    <x v="291"/>
    <x v="349"/>
    <x v="50"/>
    <x v="376"/>
    <x v="207"/>
    <x v="351"/>
    <x v="1"/>
  </r>
  <r>
    <x v="0"/>
    <x v="26"/>
    <x v="26"/>
    <x v="6"/>
    <x v="6"/>
    <x v="6"/>
    <x v="5"/>
    <x v="200"/>
    <x v="350"/>
    <x v="202"/>
    <x v="377"/>
    <x v="103"/>
    <x v="210"/>
    <x v="1"/>
  </r>
  <r>
    <x v="0"/>
    <x v="26"/>
    <x v="26"/>
    <x v="12"/>
    <x v="12"/>
    <x v="12"/>
    <x v="6"/>
    <x v="110"/>
    <x v="145"/>
    <x v="65"/>
    <x v="378"/>
    <x v="69"/>
    <x v="170"/>
    <x v="1"/>
  </r>
  <r>
    <x v="0"/>
    <x v="26"/>
    <x v="26"/>
    <x v="5"/>
    <x v="5"/>
    <x v="5"/>
    <x v="7"/>
    <x v="98"/>
    <x v="351"/>
    <x v="159"/>
    <x v="318"/>
    <x v="46"/>
    <x v="96"/>
    <x v="1"/>
  </r>
  <r>
    <x v="0"/>
    <x v="26"/>
    <x v="26"/>
    <x v="8"/>
    <x v="8"/>
    <x v="8"/>
    <x v="8"/>
    <x v="100"/>
    <x v="352"/>
    <x v="211"/>
    <x v="285"/>
    <x v="113"/>
    <x v="244"/>
    <x v="4"/>
  </r>
  <r>
    <x v="0"/>
    <x v="26"/>
    <x v="26"/>
    <x v="7"/>
    <x v="7"/>
    <x v="7"/>
    <x v="9"/>
    <x v="86"/>
    <x v="353"/>
    <x v="91"/>
    <x v="46"/>
    <x v="86"/>
    <x v="196"/>
    <x v="1"/>
  </r>
  <r>
    <x v="0"/>
    <x v="26"/>
    <x v="26"/>
    <x v="10"/>
    <x v="10"/>
    <x v="10"/>
    <x v="10"/>
    <x v="69"/>
    <x v="354"/>
    <x v="37"/>
    <x v="132"/>
    <x v="75"/>
    <x v="352"/>
    <x v="1"/>
  </r>
  <r>
    <x v="0"/>
    <x v="26"/>
    <x v="26"/>
    <x v="9"/>
    <x v="9"/>
    <x v="9"/>
    <x v="11"/>
    <x v="103"/>
    <x v="355"/>
    <x v="66"/>
    <x v="379"/>
    <x v="72"/>
    <x v="42"/>
    <x v="1"/>
  </r>
  <r>
    <x v="0"/>
    <x v="26"/>
    <x v="26"/>
    <x v="11"/>
    <x v="11"/>
    <x v="11"/>
    <x v="12"/>
    <x v="72"/>
    <x v="281"/>
    <x v="82"/>
    <x v="380"/>
    <x v="85"/>
    <x v="198"/>
    <x v="1"/>
  </r>
  <r>
    <x v="0"/>
    <x v="26"/>
    <x v="26"/>
    <x v="13"/>
    <x v="13"/>
    <x v="13"/>
    <x v="13"/>
    <x v="267"/>
    <x v="193"/>
    <x v="49"/>
    <x v="48"/>
    <x v="68"/>
    <x v="231"/>
    <x v="1"/>
  </r>
  <r>
    <x v="0"/>
    <x v="26"/>
    <x v="26"/>
    <x v="18"/>
    <x v="18"/>
    <x v="18"/>
    <x v="13"/>
    <x v="267"/>
    <x v="193"/>
    <x v="49"/>
    <x v="48"/>
    <x v="68"/>
    <x v="231"/>
    <x v="1"/>
  </r>
  <r>
    <x v="0"/>
    <x v="26"/>
    <x v="26"/>
    <x v="14"/>
    <x v="14"/>
    <x v="14"/>
    <x v="15"/>
    <x v="74"/>
    <x v="107"/>
    <x v="80"/>
    <x v="63"/>
    <x v="94"/>
    <x v="199"/>
    <x v="1"/>
  </r>
  <r>
    <x v="0"/>
    <x v="26"/>
    <x v="26"/>
    <x v="15"/>
    <x v="15"/>
    <x v="15"/>
    <x v="16"/>
    <x v="240"/>
    <x v="151"/>
    <x v="69"/>
    <x v="381"/>
    <x v="86"/>
    <x v="196"/>
    <x v="1"/>
  </r>
  <r>
    <x v="0"/>
    <x v="26"/>
    <x v="26"/>
    <x v="22"/>
    <x v="22"/>
    <x v="22"/>
    <x v="17"/>
    <x v="124"/>
    <x v="292"/>
    <x v="56"/>
    <x v="267"/>
    <x v="85"/>
    <x v="198"/>
    <x v="1"/>
  </r>
  <r>
    <x v="0"/>
    <x v="26"/>
    <x v="26"/>
    <x v="16"/>
    <x v="16"/>
    <x v="16"/>
    <x v="17"/>
    <x v="124"/>
    <x v="292"/>
    <x v="63"/>
    <x v="382"/>
    <x v="73"/>
    <x v="223"/>
    <x v="1"/>
  </r>
  <r>
    <x v="0"/>
    <x v="26"/>
    <x v="26"/>
    <x v="19"/>
    <x v="19"/>
    <x v="19"/>
    <x v="19"/>
    <x v="114"/>
    <x v="39"/>
    <x v="56"/>
    <x v="267"/>
    <x v="67"/>
    <x v="141"/>
    <x v="1"/>
  </r>
  <r>
    <x v="0"/>
    <x v="27"/>
    <x v="27"/>
    <x v="17"/>
    <x v="17"/>
    <x v="17"/>
    <x v="0"/>
    <x v="292"/>
    <x v="356"/>
    <x v="36"/>
    <x v="383"/>
    <x v="85"/>
    <x v="353"/>
    <x v="1"/>
  </r>
  <r>
    <x v="0"/>
    <x v="27"/>
    <x v="27"/>
    <x v="0"/>
    <x v="0"/>
    <x v="0"/>
    <x v="1"/>
    <x v="97"/>
    <x v="357"/>
    <x v="197"/>
    <x v="384"/>
    <x v="184"/>
    <x v="354"/>
    <x v="4"/>
  </r>
  <r>
    <x v="0"/>
    <x v="27"/>
    <x v="27"/>
    <x v="1"/>
    <x v="1"/>
    <x v="1"/>
    <x v="2"/>
    <x v="135"/>
    <x v="358"/>
    <x v="158"/>
    <x v="385"/>
    <x v="180"/>
    <x v="7"/>
    <x v="1"/>
  </r>
  <r>
    <x v="0"/>
    <x v="27"/>
    <x v="27"/>
    <x v="3"/>
    <x v="3"/>
    <x v="3"/>
    <x v="3"/>
    <x v="67"/>
    <x v="359"/>
    <x v="81"/>
    <x v="386"/>
    <x v="86"/>
    <x v="219"/>
    <x v="1"/>
  </r>
  <r>
    <x v="0"/>
    <x v="27"/>
    <x v="27"/>
    <x v="4"/>
    <x v="4"/>
    <x v="4"/>
    <x v="4"/>
    <x v="123"/>
    <x v="360"/>
    <x v="75"/>
    <x v="78"/>
    <x v="95"/>
    <x v="355"/>
    <x v="1"/>
  </r>
  <r>
    <x v="0"/>
    <x v="27"/>
    <x v="27"/>
    <x v="2"/>
    <x v="2"/>
    <x v="2"/>
    <x v="5"/>
    <x v="89"/>
    <x v="254"/>
    <x v="50"/>
    <x v="159"/>
    <x v="90"/>
    <x v="356"/>
    <x v="1"/>
  </r>
  <r>
    <x v="0"/>
    <x v="27"/>
    <x v="27"/>
    <x v="12"/>
    <x v="12"/>
    <x v="12"/>
    <x v="6"/>
    <x v="251"/>
    <x v="361"/>
    <x v="99"/>
    <x v="387"/>
    <x v="180"/>
    <x v="7"/>
    <x v="1"/>
  </r>
  <r>
    <x v="0"/>
    <x v="27"/>
    <x v="27"/>
    <x v="5"/>
    <x v="5"/>
    <x v="5"/>
    <x v="7"/>
    <x v="228"/>
    <x v="48"/>
    <x v="174"/>
    <x v="388"/>
    <x v="181"/>
    <x v="357"/>
    <x v="4"/>
  </r>
  <r>
    <x v="0"/>
    <x v="27"/>
    <x v="27"/>
    <x v="9"/>
    <x v="9"/>
    <x v="9"/>
    <x v="8"/>
    <x v="253"/>
    <x v="362"/>
    <x v="78"/>
    <x v="389"/>
    <x v="188"/>
    <x v="358"/>
    <x v="1"/>
  </r>
  <r>
    <x v="0"/>
    <x v="27"/>
    <x v="27"/>
    <x v="16"/>
    <x v="16"/>
    <x v="16"/>
    <x v="8"/>
    <x v="253"/>
    <x v="362"/>
    <x v="47"/>
    <x v="143"/>
    <x v="87"/>
    <x v="123"/>
    <x v="4"/>
  </r>
  <r>
    <x v="0"/>
    <x v="27"/>
    <x v="27"/>
    <x v="6"/>
    <x v="6"/>
    <x v="6"/>
    <x v="10"/>
    <x v="113"/>
    <x v="363"/>
    <x v="50"/>
    <x v="159"/>
    <x v="182"/>
    <x v="82"/>
    <x v="1"/>
  </r>
  <r>
    <x v="0"/>
    <x v="27"/>
    <x v="27"/>
    <x v="10"/>
    <x v="10"/>
    <x v="10"/>
    <x v="11"/>
    <x v="126"/>
    <x v="364"/>
    <x v="47"/>
    <x v="143"/>
    <x v="185"/>
    <x v="142"/>
    <x v="1"/>
  </r>
  <r>
    <x v="0"/>
    <x v="27"/>
    <x v="27"/>
    <x v="37"/>
    <x v="37"/>
    <x v="37"/>
    <x v="12"/>
    <x v="230"/>
    <x v="104"/>
    <x v="110"/>
    <x v="178"/>
    <x v="184"/>
    <x v="354"/>
    <x v="1"/>
  </r>
  <r>
    <x v="0"/>
    <x v="27"/>
    <x v="27"/>
    <x v="7"/>
    <x v="7"/>
    <x v="7"/>
    <x v="12"/>
    <x v="230"/>
    <x v="104"/>
    <x v="62"/>
    <x v="390"/>
    <x v="182"/>
    <x v="82"/>
    <x v="1"/>
  </r>
  <r>
    <x v="0"/>
    <x v="27"/>
    <x v="27"/>
    <x v="13"/>
    <x v="13"/>
    <x v="13"/>
    <x v="12"/>
    <x v="230"/>
    <x v="104"/>
    <x v="110"/>
    <x v="178"/>
    <x v="101"/>
    <x v="334"/>
    <x v="1"/>
  </r>
  <r>
    <x v="0"/>
    <x v="27"/>
    <x v="27"/>
    <x v="22"/>
    <x v="22"/>
    <x v="22"/>
    <x v="15"/>
    <x v="232"/>
    <x v="54"/>
    <x v="63"/>
    <x v="391"/>
    <x v="192"/>
    <x v="359"/>
    <x v="1"/>
  </r>
  <r>
    <x v="0"/>
    <x v="27"/>
    <x v="27"/>
    <x v="8"/>
    <x v="8"/>
    <x v="8"/>
    <x v="15"/>
    <x v="232"/>
    <x v="54"/>
    <x v="94"/>
    <x v="392"/>
    <x v="201"/>
    <x v="360"/>
    <x v="1"/>
  </r>
  <r>
    <x v="0"/>
    <x v="27"/>
    <x v="27"/>
    <x v="26"/>
    <x v="26"/>
    <x v="26"/>
    <x v="17"/>
    <x v="278"/>
    <x v="365"/>
    <x v="63"/>
    <x v="391"/>
    <x v="185"/>
    <x v="142"/>
    <x v="1"/>
  </r>
  <r>
    <x v="0"/>
    <x v="27"/>
    <x v="27"/>
    <x v="11"/>
    <x v="11"/>
    <x v="11"/>
    <x v="17"/>
    <x v="278"/>
    <x v="365"/>
    <x v="82"/>
    <x v="393"/>
    <x v="186"/>
    <x v="361"/>
    <x v="1"/>
  </r>
  <r>
    <x v="0"/>
    <x v="27"/>
    <x v="27"/>
    <x v="38"/>
    <x v="38"/>
    <x v="38"/>
    <x v="19"/>
    <x v="242"/>
    <x v="86"/>
    <x v="47"/>
    <x v="143"/>
    <x v="101"/>
    <x v="334"/>
    <x v="1"/>
  </r>
  <r>
    <x v="0"/>
    <x v="28"/>
    <x v="28"/>
    <x v="1"/>
    <x v="1"/>
    <x v="1"/>
    <x v="0"/>
    <x v="121"/>
    <x v="366"/>
    <x v="197"/>
    <x v="394"/>
    <x v="90"/>
    <x v="362"/>
    <x v="1"/>
  </r>
  <r>
    <x v="0"/>
    <x v="28"/>
    <x v="28"/>
    <x v="0"/>
    <x v="0"/>
    <x v="0"/>
    <x v="1"/>
    <x v="108"/>
    <x v="367"/>
    <x v="212"/>
    <x v="395"/>
    <x v="46"/>
    <x v="156"/>
    <x v="1"/>
  </r>
  <r>
    <x v="0"/>
    <x v="28"/>
    <x v="28"/>
    <x v="2"/>
    <x v="2"/>
    <x v="2"/>
    <x v="2"/>
    <x v="97"/>
    <x v="368"/>
    <x v="66"/>
    <x v="356"/>
    <x v="65"/>
    <x v="363"/>
    <x v="1"/>
  </r>
  <r>
    <x v="0"/>
    <x v="28"/>
    <x v="28"/>
    <x v="3"/>
    <x v="3"/>
    <x v="3"/>
    <x v="3"/>
    <x v="66"/>
    <x v="90"/>
    <x v="130"/>
    <x v="396"/>
    <x v="75"/>
    <x v="364"/>
    <x v="1"/>
  </r>
  <r>
    <x v="0"/>
    <x v="28"/>
    <x v="28"/>
    <x v="4"/>
    <x v="4"/>
    <x v="4"/>
    <x v="4"/>
    <x v="51"/>
    <x v="369"/>
    <x v="80"/>
    <x v="291"/>
    <x v="208"/>
    <x v="365"/>
    <x v="1"/>
  </r>
  <r>
    <x v="0"/>
    <x v="28"/>
    <x v="28"/>
    <x v="5"/>
    <x v="5"/>
    <x v="5"/>
    <x v="5"/>
    <x v="57"/>
    <x v="370"/>
    <x v="64"/>
    <x v="397"/>
    <x v="91"/>
    <x v="366"/>
    <x v="1"/>
  </r>
  <r>
    <x v="0"/>
    <x v="28"/>
    <x v="28"/>
    <x v="7"/>
    <x v="7"/>
    <x v="7"/>
    <x v="5"/>
    <x v="57"/>
    <x v="370"/>
    <x v="208"/>
    <x v="3"/>
    <x v="87"/>
    <x v="22"/>
    <x v="1"/>
  </r>
  <r>
    <x v="0"/>
    <x v="28"/>
    <x v="28"/>
    <x v="6"/>
    <x v="6"/>
    <x v="6"/>
    <x v="5"/>
    <x v="57"/>
    <x v="370"/>
    <x v="100"/>
    <x v="106"/>
    <x v="204"/>
    <x v="367"/>
    <x v="1"/>
  </r>
  <r>
    <x v="0"/>
    <x v="28"/>
    <x v="28"/>
    <x v="12"/>
    <x v="12"/>
    <x v="12"/>
    <x v="8"/>
    <x v="140"/>
    <x v="80"/>
    <x v="133"/>
    <x v="345"/>
    <x v="62"/>
    <x v="142"/>
    <x v="1"/>
  </r>
  <r>
    <x v="0"/>
    <x v="28"/>
    <x v="28"/>
    <x v="10"/>
    <x v="10"/>
    <x v="10"/>
    <x v="9"/>
    <x v="73"/>
    <x v="9"/>
    <x v="80"/>
    <x v="291"/>
    <x v="90"/>
    <x v="362"/>
    <x v="1"/>
  </r>
  <r>
    <x v="0"/>
    <x v="28"/>
    <x v="28"/>
    <x v="8"/>
    <x v="8"/>
    <x v="8"/>
    <x v="10"/>
    <x v="252"/>
    <x v="362"/>
    <x v="100"/>
    <x v="106"/>
    <x v="182"/>
    <x v="368"/>
    <x v="1"/>
  </r>
  <r>
    <x v="0"/>
    <x v="28"/>
    <x v="28"/>
    <x v="13"/>
    <x v="13"/>
    <x v="13"/>
    <x v="11"/>
    <x v="125"/>
    <x v="102"/>
    <x v="54"/>
    <x v="217"/>
    <x v="87"/>
    <x v="22"/>
    <x v="1"/>
  </r>
  <r>
    <x v="0"/>
    <x v="28"/>
    <x v="28"/>
    <x v="9"/>
    <x v="9"/>
    <x v="9"/>
    <x v="12"/>
    <x v="287"/>
    <x v="160"/>
    <x v="126"/>
    <x v="76"/>
    <x v="87"/>
    <x v="22"/>
    <x v="1"/>
  </r>
  <r>
    <x v="0"/>
    <x v="28"/>
    <x v="28"/>
    <x v="11"/>
    <x v="11"/>
    <x v="11"/>
    <x v="13"/>
    <x v="116"/>
    <x v="371"/>
    <x v="62"/>
    <x v="300"/>
    <x v="181"/>
    <x v="218"/>
    <x v="1"/>
  </r>
  <r>
    <x v="0"/>
    <x v="28"/>
    <x v="28"/>
    <x v="15"/>
    <x v="15"/>
    <x v="15"/>
    <x v="13"/>
    <x v="116"/>
    <x v="371"/>
    <x v="116"/>
    <x v="151"/>
    <x v="67"/>
    <x v="73"/>
    <x v="1"/>
  </r>
  <r>
    <x v="0"/>
    <x v="28"/>
    <x v="28"/>
    <x v="16"/>
    <x v="16"/>
    <x v="16"/>
    <x v="15"/>
    <x v="241"/>
    <x v="372"/>
    <x v="116"/>
    <x v="151"/>
    <x v="73"/>
    <x v="52"/>
    <x v="1"/>
  </r>
  <r>
    <x v="0"/>
    <x v="28"/>
    <x v="28"/>
    <x v="22"/>
    <x v="22"/>
    <x v="22"/>
    <x v="16"/>
    <x v="231"/>
    <x v="373"/>
    <x v="70"/>
    <x v="398"/>
    <x v="104"/>
    <x v="369"/>
    <x v="1"/>
  </r>
  <r>
    <x v="0"/>
    <x v="28"/>
    <x v="28"/>
    <x v="19"/>
    <x v="19"/>
    <x v="19"/>
    <x v="17"/>
    <x v="232"/>
    <x v="35"/>
    <x v="116"/>
    <x v="151"/>
    <x v="87"/>
    <x v="22"/>
    <x v="1"/>
  </r>
  <r>
    <x v="0"/>
    <x v="28"/>
    <x v="28"/>
    <x v="18"/>
    <x v="18"/>
    <x v="18"/>
    <x v="18"/>
    <x v="233"/>
    <x v="86"/>
    <x v="126"/>
    <x v="76"/>
    <x v="192"/>
    <x v="78"/>
    <x v="1"/>
  </r>
  <r>
    <x v="0"/>
    <x v="28"/>
    <x v="28"/>
    <x v="30"/>
    <x v="30"/>
    <x v="30"/>
    <x v="19"/>
    <x v="293"/>
    <x v="74"/>
    <x v="52"/>
    <x v="47"/>
    <x v="184"/>
    <x v="370"/>
    <x v="1"/>
  </r>
  <r>
    <x v="0"/>
    <x v="29"/>
    <x v="29"/>
    <x v="4"/>
    <x v="4"/>
    <x v="4"/>
    <x v="0"/>
    <x v="136"/>
    <x v="374"/>
    <x v="101"/>
    <x v="399"/>
    <x v="209"/>
    <x v="371"/>
    <x v="1"/>
  </r>
  <r>
    <x v="0"/>
    <x v="29"/>
    <x v="29"/>
    <x v="1"/>
    <x v="1"/>
    <x v="1"/>
    <x v="0"/>
    <x v="136"/>
    <x v="374"/>
    <x v="132"/>
    <x v="400"/>
    <x v="91"/>
    <x v="372"/>
    <x v="1"/>
  </r>
  <r>
    <x v="0"/>
    <x v="29"/>
    <x v="29"/>
    <x v="3"/>
    <x v="3"/>
    <x v="3"/>
    <x v="2"/>
    <x v="53"/>
    <x v="375"/>
    <x v="15"/>
    <x v="401"/>
    <x v="71"/>
    <x v="373"/>
    <x v="1"/>
  </r>
  <r>
    <x v="0"/>
    <x v="29"/>
    <x v="29"/>
    <x v="17"/>
    <x v="17"/>
    <x v="17"/>
    <x v="3"/>
    <x v="137"/>
    <x v="253"/>
    <x v="174"/>
    <x v="8"/>
    <x v="102"/>
    <x v="374"/>
    <x v="1"/>
  </r>
  <r>
    <x v="0"/>
    <x v="29"/>
    <x v="29"/>
    <x v="26"/>
    <x v="26"/>
    <x v="26"/>
    <x v="4"/>
    <x v="71"/>
    <x v="376"/>
    <x v="78"/>
    <x v="402"/>
    <x v="85"/>
    <x v="375"/>
    <x v="1"/>
  </r>
  <r>
    <x v="0"/>
    <x v="29"/>
    <x v="29"/>
    <x v="12"/>
    <x v="12"/>
    <x v="12"/>
    <x v="5"/>
    <x v="277"/>
    <x v="377"/>
    <x v="101"/>
    <x v="399"/>
    <x v="183"/>
    <x v="210"/>
    <x v="1"/>
  </r>
  <r>
    <x v="0"/>
    <x v="29"/>
    <x v="29"/>
    <x v="0"/>
    <x v="0"/>
    <x v="0"/>
    <x v="5"/>
    <x v="277"/>
    <x v="377"/>
    <x v="91"/>
    <x v="403"/>
    <x v="97"/>
    <x v="376"/>
    <x v="1"/>
  </r>
  <r>
    <x v="0"/>
    <x v="29"/>
    <x v="29"/>
    <x v="5"/>
    <x v="5"/>
    <x v="5"/>
    <x v="7"/>
    <x v="253"/>
    <x v="188"/>
    <x v="133"/>
    <x v="201"/>
    <x v="180"/>
    <x v="328"/>
    <x v="1"/>
  </r>
  <r>
    <x v="0"/>
    <x v="29"/>
    <x v="29"/>
    <x v="9"/>
    <x v="9"/>
    <x v="9"/>
    <x v="8"/>
    <x v="240"/>
    <x v="378"/>
    <x v="55"/>
    <x v="404"/>
    <x v="97"/>
    <x v="376"/>
    <x v="1"/>
  </r>
  <r>
    <x v="0"/>
    <x v="29"/>
    <x v="29"/>
    <x v="10"/>
    <x v="10"/>
    <x v="10"/>
    <x v="9"/>
    <x v="229"/>
    <x v="379"/>
    <x v="82"/>
    <x v="405"/>
    <x v="183"/>
    <x v="210"/>
    <x v="1"/>
  </r>
  <r>
    <x v="0"/>
    <x v="29"/>
    <x v="29"/>
    <x v="39"/>
    <x v="39"/>
    <x v="39"/>
    <x v="9"/>
    <x v="229"/>
    <x v="379"/>
    <x v="133"/>
    <x v="201"/>
    <x v="81"/>
    <x v="55"/>
    <x v="1"/>
  </r>
  <r>
    <x v="0"/>
    <x v="29"/>
    <x v="29"/>
    <x v="11"/>
    <x v="11"/>
    <x v="11"/>
    <x v="11"/>
    <x v="113"/>
    <x v="380"/>
    <x v="80"/>
    <x v="362"/>
    <x v="73"/>
    <x v="377"/>
    <x v="1"/>
  </r>
  <r>
    <x v="0"/>
    <x v="29"/>
    <x v="29"/>
    <x v="6"/>
    <x v="6"/>
    <x v="6"/>
    <x v="12"/>
    <x v="115"/>
    <x v="98"/>
    <x v="82"/>
    <x v="405"/>
    <x v="182"/>
    <x v="174"/>
    <x v="1"/>
  </r>
  <r>
    <x v="0"/>
    <x v="29"/>
    <x v="29"/>
    <x v="40"/>
    <x v="40"/>
    <x v="40"/>
    <x v="13"/>
    <x v="116"/>
    <x v="83"/>
    <x v="47"/>
    <x v="406"/>
    <x v="180"/>
    <x v="328"/>
    <x v="1"/>
  </r>
  <r>
    <x v="0"/>
    <x v="29"/>
    <x v="29"/>
    <x v="2"/>
    <x v="2"/>
    <x v="2"/>
    <x v="14"/>
    <x v="241"/>
    <x v="150"/>
    <x v="69"/>
    <x v="179"/>
    <x v="204"/>
    <x v="378"/>
    <x v="1"/>
  </r>
  <r>
    <x v="0"/>
    <x v="29"/>
    <x v="29"/>
    <x v="36"/>
    <x v="36"/>
    <x v="36"/>
    <x v="15"/>
    <x v="231"/>
    <x v="210"/>
    <x v="37"/>
    <x v="407"/>
    <x v="97"/>
    <x v="376"/>
    <x v="1"/>
  </r>
  <r>
    <x v="0"/>
    <x v="29"/>
    <x v="29"/>
    <x v="41"/>
    <x v="41"/>
    <x v="41"/>
    <x v="15"/>
    <x v="231"/>
    <x v="210"/>
    <x v="80"/>
    <x v="362"/>
    <x v="180"/>
    <x v="328"/>
    <x v="1"/>
  </r>
  <r>
    <x v="0"/>
    <x v="29"/>
    <x v="29"/>
    <x v="8"/>
    <x v="8"/>
    <x v="8"/>
    <x v="17"/>
    <x v="234"/>
    <x v="107"/>
    <x v="82"/>
    <x v="405"/>
    <x v="195"/>
    <x v="379"/>
    <x v="1"/>
  </r>
  <r>
    <x v="0"/>
    <x v="29"/>
    <x v="29"/>
    <x v="13"/>
    <x v="13"/>
    <x v="13"/>
    <x v="18"/>
    <x v="293"/>
    <x v="304"/>
    <x v="54"/>
    <x v="408"/>
    <x v="97"/>
    <x v="376"/>
    <x v="1"/>
  </r>
  <r>
    <x v="0"/>
    <x v="29"/>
    <x v="29"/>
    <x v="7"/>
    <x v="7"/>
    <x v="7"/>
    <x v="19"/>
    <x v="294"/>
    <x v="72"/>
    <x v="52"/>
    <x v="409"/>
    <x v="101"/>
    <x v="167"/>
    <x v="1"/>
  </r>
  <r>
    <x v="0"/>
    <x v="30"/>
    <x v="30"/>
    <x v="0"/>
    <x v="0"/>
    <x v="0"/>
    <x v="0"/>
    <x v="132"/>
    <x v="381"/>
    <x v="213"/>
    <x v="410"/>
    <x v="192"/>
    <x v="380"/>
    <x v="1"/>
  </r>
  <r>
    <x v="0"/>
    <x v="30"/>
    <x v="30"/>
    <x v="3"/>
    <x v="3"/>
    <x v="3"/>
    <x v="1"/>
    <x v="108"/>
    <x v="382"/>
    <x v="158"/>
    <x v="411"/>
    <x v="77"/>
    <x v="381"/>
    <x v="1"/>
  </r>
  <r>
    <x v="0"/>
    <x v="30"/>
    <x v="30"/>
    <x v="4"/>
    <x v="4"/>
    <x v="4"/>
    <x v="2"/>
    <x v="250"/>
    <x v="383"/>
    <x v="35"/>
    <x v="412"/>
    <x v="92"/>
    <x v="382"/>
    <x v="1"/>
  </r>
  <r>
    <x v="0"/>
    <x v="30"/>
    <x v="30"/>
    <x v="1"/>
    <x v="1"/>
    <x v="1"/>
    <x v="3"/>
    <x v="53"/>
    <x v="384"/>
    <x v="105"/>
    <x v="413"/>
    <x v="81"/>
    <x v="56"/>
    <x v="1"/>
  </r>
  <r>
    <x v="0"/>
    <x v="30"/>
    <x v="30"/>
    <x v="5"/>
    <x v="5"/>
    <x v="5"/>
    <x v="4"/>
    <x v="54"/>
    <x v="385"/>
    <x v="178"/>
    <x v="414"/>
    <x v="188"/>
    <x v="383"/>
    <x v="1"/>
  </r>
  <r>
    <x v="0"/>
    <x v="30"/>
    <x v="30"/>
    <x v="9"/>
    <x v="9"/>
    <x v="9"/>
    <x v="5"/>
    <x v="286"/>
    <x v="386"/>
    <x v="203"/>
    <x v="24"/>
    <x v="185"/>
    <x v="384"/>
    <x v="1"/>
  </r>
  <r>
    <x v="0"/>
    <x v="30"/>
    <x v="30"/>
    <x v="2"/>
    <x v="2"/>
    <x v="2"/>
    <x v="6"/>
    <x v="139"/>
    <x v="387"/>
    <x v="51"/>
    <x v="415"/>
    <x v="110"/>
    <x v="385"/>
    <x v="4"/>
  </r>
  <r>
    <x v="0"/>
    <x v="30"/>
    <x v="30"/>
    <x v="42"/>
    <x v="42"/>
    <x v="42"/>
    <x v="7"/>
    <x v="267"/>
    <x v="352"/>
    <x v="208"/>
    <x v="416"/>
    <x v="182"/>
    <x v="386"/>
    <x v="1"/>
  </r>
  <r>
    <x v="0"/>
    <x v="30"/>
    <x v="30"/>
    <x v="12"/>
    <x v="12"/>
    <x v="12"/>
    <x v="8"/>
    <x v="252"/>
    <x v="337"/>
    <x v="55"/>
    <x v="417"/>
    <x v="180"/>
    <x v="279"/>
    <x v="1"/>
  </r>
  <r>
    <x v="0"/>
    <x v="30"/>
    <x v="30"/>
    <x v="11"/>
    <x v="11"/>
    <x v="11"/>
    <x v="9"/>
    <x v="142"/>
    <x v="388"/>
    <x v="78"/>
    <x v="64"/>
    <x v="180"/>
    <x v="279"/>
    <x v="1"/>
  </r>
  <r>
    <x v="0"/>
    <x v="30"/>
    <x v="30"/>
    <x v="6"/>
    <x v="6"/>
    <x v="6"/>
    <x v="10"/>
    <x v="125"/>
    <x v="246"/>
    <x v="62"/>
    <x v="418"/>
    <x v="84"/>
    <x v="212"/>
    <x v="4"/>
  </r>
  <r>
    <x v="0"/>
    <x v="30"/>
    <x v="30"/>
    <x v="10"/>
    <x v="10"/>
    <x v="10"/>
    <x v="11"/>
    <x v="287"/>
    <x v="355"/>
    <x v="92"/>
    <x v="168"/>
    <x v="182"/>
    <x v="386"/>
    <x v="1"/>
  </r>
  <r>
    <x v="0"/>
    <x v="30"/>
    <x v="30"/>
    <x v="15"/>
    <x v="15"/>
    <x v="15"/>
    <x v="12"/>
    <x v="126"/>
    <x v="32"/>
    <x v="116"/>
    <x v="151"/>
    <x v="113"/>
    <x v="155"/>
    <x v="1"/>
  </r>
  <r>
    <x v="0"/>
    <x v="30"/>
    <x v="30"/>
    <x v="7"/>
    <x v="7"/>
    <x v="7"/>
    <x v="13"/>
    <x v="230"/>
    <x v="338"/>
    <x v="62"/>
    <x v="418"/>
    <x v="182"/>
    <x v="386"/>
    <x v="1"/>
  </r>
  <r>
    <x v="0"/>
    <x v="30"/>
    <x v="30"/>
    <x v="8"/>
    <x v="8"/>
    <x v="8"/>
    <x v="14"/>
    <x v="241"/>
    <x v="389"/>
    <x v="94"/>
    <x v="419"/>
    <x v="194"/>
    <x v="267"/>
    <x v="1"/>
  </r>
  <r>
    <x v="0"/>
    <x v="30"/>
    <x v="30"/>
    <x v="13"/>
    <x v="13"/>
    <x v="13"/>
    <x v="15"/>
    <x v="232"/>
    <x v="321"/>
    <x v="52"/>
    <x v="322"/>
    <x v="81"/>
    <x v="56"/>
    <x v="1"/>
  </r>
  <r>
    <x v="0"/>
    <x v="30"/>
    <x v="30"/>
    <x v="14"/>
    <x v="14"/>
    <x v="14"/>
    <x v="16"/>
    <x v="234"/>
    <x v="55"/>
    <x v="63"/>
    <x v="293"/>
    <x v="84"/>
    <x v="212"/>
    <x v="1"/>
  </r>
  <r>
    <x v="0"/>
    <x v="30"/>
    <x v="30"/>
    <x v="35"/>
    <x v="35"/>
    <x v="35"/>
    <x v="17"/>
    <x v="294"/>
    <x v="162"/>
    <x v="53"/>
    <x v="240"/>
    <x v="185"/>
    <x v="384"/>
    <x v="1"/>
  </r>
  <r>
    <x v="0"/>
    <x v="30"/>
    <x v="30"/>
    <x v="17"/>
    <x v="17"/>
    <x v="17"/>
    <x v="18"/>
    <x v="295"/>
    <x v="134"/>
    <x v="126"/>
    <x v="420"/>
    <x v="182"/>
    <x v="386"/>
    <x v="1"/>
  </r>
  <r>
    <x v="0"/>
    <x v="30"/>
    <x v="30"/>
    <x v="27"/>
    <x v="27"/>
    <x v="27"/>
    <x v="18"/>
    <x v="295"/>
    <x v="134"/>
    <x v="70"/>
    <x v="50"/>
    <x v="181"/>
    <x v="125"/>
    <x v="1"/>
  </r>
  <r>
    <x v="0"/>
    <x v="30"/>
    <x v="30"/>
    <x v="18"/>
    <x v="18"/>
    <x v="18"/>
    <x v="18"/>
    <x v="295"/>
    <x v="134"/>
    <x v="63"/>
    <x v="293"/>
    <x v="184"/>
    <x v="80"/>
    <x v="1"/>
  </r>
  <r>
    <x v="0"/>
    <x v="31"/>
    <x v="31"/>
    <x v="4"/>
    <x v="4"/>
    <x v="4"/>
    <x v="0"/>
    <x v="102"/>
    <x v="390"/>
    <x v="101"/>
    <x v="421"/>
    <x v="77"/>
    <x v="387"/>
    <x v="1"/>
  </r>
  <r>
    <x v="0"/>
    <x v="31"/>
    <x v="31"/>
    <x v="3"/>
    <x v="3"/>
    <x v="3"/>
    <x v="0"/>
    <x v="102"/>
    <x v="390"/>
    <x v="99"/>
    <x v="422"/>
    <x v="86"/>
    <x v="388"/>
    <x v="1"/>
  </r>
  <r>
    <x v="0"/>
    <x v="31"/>
    <x v="31"/>
    <x v="1"/>
    <x v="1"/>
    <x v="1"/>
    <x v="2"/>
    <x v="89"/>
    <x v="391"/>
    <x v="190"/>
    <x v="423"/>
    <x v="184"/>
    <x v="67"/>
    <x v="1"/>
  </r>
  <r>
    <x v="0"/>
    <x v="31"/>
    <x v="31"/>
    <x v="0"/>
    <x v="0"/>
    <x v="0"/>
    <x v="3"/>
    <x v="251"/>
    <x v="392"/>
    <x v="91"/>
    <x v="424"/>
    <x v="101"/>
    <x v="256"/>
    <x v="4"/>
  </r>
  <r>
    <x v="0"/>
    <x v="31"/>
    <x v="31"/>
    <x v="31"/>
    <x v="31"/>
    <x v="31"/>
    <x v="4"/>
    <x v="267"/>
    <x v="393"/>
    <x v="51"/>
    <x v="228"/>
    <x v="81"/>
    <x v="378"/>
    <x v="1"/>
  </r>
  <r>
    <x v="0"/>
    <x v="31"/>
    <x v="31"/>
    <x v="5"/>
    <x v="5"/>
    <x v="5"/>
    <x v="5"/>
    <x v="229"/>
    <x v="394"/>
    <x v="15"/>
    <x v="59"/>
    <x v="186"/>
    <x v="69"/>
    <x v="1"/>
  </r>
  <r>
    <x v="0"/>
    <x v="31"/>
    <x v="31"/>
    <x v="2"/>
    <x v="2"/>
    <x v="2"/>
    <x v="6"/>
    <x v="113"/>
    <x v="24"/>
    <x v="110"/>
    <x v="425"/>
    <x v="113"/>
    <x v="389"/>
    <x v="1"/>
  </r>
  <r>
    <x v="0"/>
    <x v="31"/>
    <x v="31"/>
    <x v="9"/>
    <x v="9"/>
    <x v="9"/>
    <x v="7"/>
    <x v="124"/>
    <x v="395"/>
    <x v="75"/>
    <x v="23"/>
    <x v="184"/>
    <x v="67"/>
    <x v="1"/>
  </r>
  <r>
    <x v="0"/>
    <x v="31"/>
    <x v="31"/>
    <x v="6"/>
    <x v="6"/>
    <x v="6"/>
    <x v="7"/>
    <x v="124"/>
    <x v="395"/>
    <x v="75"/>
    <x v="23"/>
    <x v="195"/>
    <x v="390"/>
    <x v="4"/>
  </r>
  <r>
    <x v="0"/>
    <x v="31"/>
    <x v="31"/>
    <x v="12"/>
    <x v="12"/>
    <x v="12"/>
    <x v="9"/>
    <x v="126"/>
    <x v="396"/>
    <x v="78"/>
    <x v="426"/>
    <x v="184"/>
    <x v="67"/>
    <x v="1"/>
  </r>
  <r>
    <x v="0"/>
    <x v="31"/>
    <x v="31"/>
    <x v="10"/>
    <x v="10"/>
    <x v="10"/>
    <x v="10"/>
    <x v="230"/>
    <x v="397"/>
    <x v="82"/>
    <x v="427"/>
    <x v="181"/>
    <x v="108"/>
    <x v="1"/>
  </r>
  <r>
    <x v="0"/>
    <x v="31"/>
    <x v="31"/>
    <x v="11"/>
    <x v="11"/>
    <x v="11"/>
    <x v="11"/>
    <x v="233"/>
    <x v="398"/>
    <x v="47"/>
    <x v="428"/>
    <x v="182"/>
    <x v="391"/>
    <x v="1"/>
  </r>
  <r>
    <x v="0"/>
    <x v="31"/>
    <x v="31"/>
    <x v="13"/>
    <x v="13"/>
    <x v="13"/>
    <x v="12"/>
    <x v="254"/>
    <x v="223"/>
    <x v="54"/>
    <x v="365"/>
    <x v="101"/>
    <x v="256"/>
    <x v="1"/>
  </r>
  <r>
    <x v="0"/>
    <x v="31"/>
    <x v="31"/>
    <x v="17"/>
    <x v="17"/>
    <x v="17"/>
    <x v="13"/>
    <x v="255"/>
    <x v="399"/>
    <x v="126"/>
    <x v="322"/>
    <x v="184"/>
    <x v="67"/>
    <x v="1"/>
  </r>
  <r>
    <x v="0"/>
    <x v="31"/>
    <x v="31"/>
    <x v="8"/>
    <x v="8"/>
    <x v="8"/>
    <x v="14"/>
    <x v="256"/>
    <x v="400"/>
    <x v="54"/>
    <x v="365"/>
    <x v="201"/>
    <x v="392"/>
    <x v="1"/>
  </r>
  <r>
    <x v="0"/>
    <x v="31"/>
    <x v="31"/>
    <x v="36"/>
    <x v="36"/>
    <x v="36"/>
    <x v="15"/>
    <x v="257"/>
    <x v="38"/>
    <x v="63"/>
    <x v="206"/>
    <x v="194"/>
    <x v="165"/>
    <x v="1"/>
  </r>
  <r>
    <x v="0"/>
    <x v="31"/>
    <x v="31"/>
    <x v="35"/>
    <x v="35"/>
    <x v="35"/>
    <x v="16"/>
    <x v="258"/>
    <x v="195"/>
    <x v="53"/>
    <x v="280"/>
    <x v="101"/>
    <x v="256"/>
    <x v="4"/>
  </r>
  <r>
    <x v="0"/>
    <x v="31"/>
    <x v="31"/>
    <x v="42"/>
    <x v="42"/>
    <x v="42"/>
    <x v="17"/>
    <x v="259"/>
    <x v="401"/>
    <x v="116"/>
    <x v="151"/>
    <x v="181"/>
    <x v="108"/>
    <x v="1"/>
  </r>
  <r>
    <x v="0"/>
    <x v="31"/>
    <x v="31"/>
    <x v="7"/>
    <x v="7"/>
    <x v="7"/>
    <x v="18"/>
    <x v="260"/>
    <x v="402"/>
    <x v="126"/>
    <x v="322"/>
    <x v="201"/>
    <x v="392"/>
    <x v="1"/>
  </r>
  <r>
    <x v="0"/>
    <x v="31"/>
    <x v="31"/>
    <x v="30"/>
    <x v="30"/>
    <x v="30"/>
    <x v="18"/>
    <x v="260"/>
    <x v="402"/>
    <x v="102"/>
    <x v="429"/>
    <x v="195"/>
    <x v="390"/>
    <x v="1"/>
  </r>
  <r>
    <x v="0"/>
    <x v="32"/>
    <x v="32"/>
    <x v="4"/>
    <x v="4"/>
    <x v="4"/>
    <x v="0"/>
    <x v="296"/>
    <x v="403"/>
    <x v="85"/>
    <x v="430"/>
    <x v="165"/>
    <x v="393"/>
    <x v="1"/>
  </r>
  <r>
    <x v="0"/>
    <x v="32"/>
    <x v="32"/>
    <x v="1"/>
    <x v="1"/>
    <x v="1"/>
    <x v="1"/>
    <x v="264"/>
    <x v="404"/>
    <x v="214"/>
    <x v="431"/>
    <x v="91"/>
    <x v="124"/>
    <x v="1"/>
  </r>
  <r>
    <x v="0"/>
    <x v="32"/>
    <x v="32"/>
    <x v="9"/>
    <x v="9"/>
    <x v="9"/>
    <x v="2"/>
    <x v="158"/>
    <x v="297"/>
    <x v="215"/>
    <x v="432"/>
    <x v="68"/>
    <x v="30"/>
    <x v="1"/>
  </r>
  <r>
    <x v="0"/>
    <x v="32"/>
    <x v="32"/>
    <x v="3"/>
    <x v="3"/>
    <x v="3"/>
    <x v="3"/>
    <x v="225"/>
    <x v="405"/>
    <x v="216"/>
    <x v="173"/>
    <x v="210"/>
    <x v="394"/>
    <x v="1"/>
  </r>
  <r>
    <x v="0"/>
    <x v="32"/>
    <x v="32"/>
    <x v="0"/>
    <x v="0"/>
    <x v="0"/>
    <x v="4"/>
    <x v="65"/>
    <x v="349"/>
    <x v="46"/>
    <x v="433"/>
    <x v="81"/>
    <x v="130"/>
    <x v="1"/>
  </r>
  <r>
    <x v="0"/>
    <x v="32"/>
    <x v="32"/>
    <x v="5"/>
    <x v="5"/>
    <x v="5"/>
    <x v="5"/>
    <x v="85"/>
    <x v="169"/>
    <x v="211"/>
    <x v="434"/>
    <x v="185"/>
    <x v="78"/>
    <x v="1"/>
  </r>
  <r>
    <x v="0"/>
    <x v="32"/>
    <x v="32"/>
    <x v="6"/>
    <x v="6"/>
    <x v="6"/>
    <x v="6"/>
    <x v="53"/>
    <x v="406"/>
    <x v="127"/>
    <x v="388"/>
    <x v="180"/>
    <x v="127"/>
    <x v="1"/>
  </r>
  <r>
    <x v="0"/>
    <x v="32"/>
    <x v="32"/>
    <x v="10"/>
    <x v="10"/>
    <x v="10"/>
    <x v="7"/>
    <x v="86"/>
    <x v="221"/>
    <x v="184"/>
    <x v="435"/>
    <x v="67"/>
    <x v="122"/>
    <x v="1"/>
  </r>
  <r>
    <x v="0"/>
    <x v="32"/>
    <x v="32"/>
    <x v="12"/>
    <x v="12"/>
    <x v="12"/>
    <x v="8"/>
    <x v="123"/>
    <x v="407"/>
    <x v="65"/>
    <x v="426"/>
    <x v="183"/>
    <x v="391"/>
    <x v="1"/>
  </r>
  <r>
    <x v="0"/>
    <x v="32"/>
    <x v="32"/>
    <x v="2"/>
    <x v="2"/>
    <x v="2"/>
    <x v="9"/>
    <x v="276"/>
    <x v="408"/>
    <x v="133"/>
    <x v="436"/>
    <x v="69"/>
    <x v="146"/>
    <x v="1"/>
  </r>
  <r>
    <x v="0"/>
    <x v="32"/>
    <x v="32"/>
    <x v="11"/>
    <x v="11"/>
    <x v="11"/>
    <x v="10"/>
    <x v="58"/>
    <x v="12"/>
    <x v="164"/>
    <x v="392"/>
    <x v="104"/>
    <x v="101"/>
    <x v="1"/>
  </r>
  <r>
    <x v="0"/>
    <x v="32"/>
    <x v="32"/>
    <x v="7"/>
    <x v="7"/>
    <x v="7"/>
    <x v="11"/>
    <x v="112"/>
    <x v="409"/>
    <x v="93"/>
    <x v="300"/>
    <x v="97"/>
    <x v="395"/>
    <x v="1"/>
  </r>
  <r>
    <x v="0"/>
    <x v="32"/>
    <x v="32"/>
    <x v="15"/>
    <x v="15"/>
    <x v="15"/>
    <x v="12"/>
    <x v="140"/>
    <x v="410"/>
    <x v="116"/>
    <x v="151"/>
    <x v="144"/>
    <x v="396"/>
    <x v="1"/>
  </r>
  <r>
    <x v="0"/>
    <x v="32"/>
    <x v="32"/>
    <x v="36"/>
    <x v="36"/>
    <x v="36"/>
    <x v="13"/>
    <x v="73"/>
    <x v="159"/>
    <x v="194"/>
    <x v="437"/>
    <x v="113"/>
    <x v="181"/>
    <x v="1"/>
  </r>
  <r>
    <x v="0"/>
    <x v="32"/>
    <x v="32"/>
    <x v="8"/>
    <x v="8"/>
    <x v="8"/>
    <x v="14"/>
    <x v="142"/>
    <x v="211"/>
    <x v="101"/>
    <x v="324"/>
    <x v="186"/>
    <x v="84"/>
    <x v="1"/>
  </r>
  <r>
    <x v="0"/>
    <x v="32"/>
    <x v="32"/>
    <x v="37"/>
    <x v="37"/>
    <x v="37"/>
    <x v="15"/>
    <x v="114"/>
    <x v="86"/>
    <x v="133"/>
    <x v="436"/>
    <x v="184"/>
    <x v="368"/>
    <x v="1"/>
  </r>
  <r>
    <x v="0"/>
    <x v="32"/>
    <x v="32"/>
    <x v="13"/>
    <x v="13"/>
    <x v="13"/>
    <x v="15"/>
    <x v="114"/>
    <x v="86"/>
    <x v="82"/>
    <x v="124"/>
    <x v="192"/>
    <x v="397"/>
    <x v="1"/>
  </r>
  <r>
    <x v="0"/>
    <x v="32"/>
    <x v="32"/>
    <x v="18"/>
    <x v="18"/>
    <x v="18"/>
    <x v="17"/>
    <x v="126"/>
    <x v="57"/>
    <x v="179"/>
    <x v="370"/>
    <x v="192"/>
    <x v="397"/>
    <x v="1"/>
  </r>
  <r>
    <x v="0"/>
    <x v="32"/>
    <x v="32"/>
    <x v="22"/>
    <x v="22"/>
    <x v="22"/>
    <x v="18"/>
    <x v="230"/>
    <x v="411"/>
    <x v="47"/>
    <x v="312"/>
    <x v="81"/>
    <x v="130"/>
    <x v="1"/>
  </r>
  <r>
    <x v="0"/>
    <x v="32"/>
    <x v="32"/>
    <x v="43"/>
    <x v="43"/>
    <x v="43"/>
    <x v="19"/>
    <x v="231"/>
    <x v="224"/>
    <x v="82"/>
    <x v="124"/>
    <x v="182"/>
    <x v="398"/>
    <x v="1"/>
  </r>
  <r>
    <x v="0"/>
    <x v="33"/>
    <x v="33"/>
    <x v="0"/>
    <x v="0"/>
    <x v="0"/>
    <x v="0"/>
    <x v="297"/>
    <x v="412"/>
    <x v="45"/>
    <x v="438"/>
    <x v="182"/>
    <x v="399"/>
    <x v="1"/>
  </r>
  <r>
    <x v="0"/>
    <x v="33"/>
    <x v="33"/>
    <x v="1"/>
    <x v="1"/>
    <x v="1"/>
    <x v="1"/>
    <x v="248"/>
    <x v="76"/>
    <x v="113"/>
    <x v="439"/>
    <x v="184"/>
    <x v="247"/>
    <x v="1"/>
  </r>
  <r>
    <x v="0"/>
    <x v="33"/>
    <x v="33"/>
    <x v="3"/>
    <x v="3"/>
    <x v="3"/>
    <x v="2"/>
    <x v="159"/>
    <x v="413"/>
    <x v="175"/>
    <x v="91"/>
    <x v="57"/>
    <x v="400"/>
    <x v="1"/>
  </r>
  <r>
    <x v="0"/>
    <x v="33"/>
    <x v="33"/>
    <x v="5"/>
    <x v="5"/>
    <x v="5"/>
    <x v="3"/>
    <x v="65"/>
    <x v="414"/>
    <x v="217"/>
    <x v="58"/>
    <x v="113"/>
    <x v="11"/>
    <x v="1"/>
  </r>
  <r>
    <x v="0"/>
    <x v="33"/>
    <x v="33"/>
    <x v="2"/>
    <x v="2"/>
    <x v="2"/>
    <x v="4"/>
    <x v="298"/>
    <x v="415"/>
    <x v="207"/>
    <x v="440"/>
    <x v="99"/>
    <x v="401"/>
    <x v="1"/>
  </r>
  <r>
    <x v="0"/>
    <x v="33"/>
    <x v="33"/>
    <x v="4"/>
    <x v="4"/>
    <x v="4"/>
    <x v="5"/>
    <x v="100"/>
    <x v="416"/>
    <x v="100"/>
    <x v="271"/>
    <x v="57"/>
    <x v="400"/>
    <x v="1"/>
  </r>
  <r>
    <x v="0"/>
    <x v="33"/>
    <x v="33"/>
    <x v="42"/>
    <x v="42"/>
    <x v="42"/>
    <x v="6"/>
    <x v="67"/>
    <x v="417"/>
    <x v="218"/>
    <x v="441"/>
    <x v="46"/>
    <x v="402"/>
    <x v="1"/>
  </r>
  <r>
    <x v="0"/>
    <x v="33"/>
    <x v="33"/>
    <x v="6"/>
    <x v="6"/>
    <x v="6"/>
    <x v="7"/>
    <x v="286"/>
    <x v="378"/>
    <x v="203"/>
    <x v="442"/>
    <x v="101"/>
    <x v="403"/>
    <x v="1"/>
  </r>
  <r>
    <x v="0"/>
    <x v="33"/>
    <x v="33"/>
    <x v="9"/>
    <x v="9"/>
    <x v="9"/>
    <x v="8"/>
    <x v="58"/>
    <x v="95"/>
    <x v="93"/>
    <x v="443"/>
    <x v="192"/>
    <x v="404"/>
    <x v="1"/>
  </r>
  <r>
    <x v="0"/>
    <x v="33"/>
    <x v="33"/>
    <x v="12"/>
    <x v="12"/>
    <x v="12"/>
    <x v="9"/>
    <x v="227"/>
    <x v="418"/>
    <x v="91"/>
    <x v="444"/>
    <x v="185"/>
    <x v="143"/>
    <x v="1"/>
  </r>
  <r>
    <x v="0"/>
    <x v="33"/>
    <x v="33"/>
    <x v="11"/>
    <x v="11"/>
    <x v="11"/>
    <x v="10"/>
    <x v="251"/>
    <x v="81"/>
    <x v="100"/>
    <x v="271"/>
    <x v="185"/>
    <x v="143"/>
    <x v="1"/>
  </r>
  <r>
    <x v="0"/>
    <x v="33"/>
    <x v="33"/>
    <x v="35"/>
    <x v="35"/>
    <x v="35"/>
    <x v="11"/>
    <x v="267"/>
    <x v="314"/>
    <x v="133"/>
    <x v="445"/>
    <x v="183"/>
    <x v="294"/>
    <x v="1"/>
  </r>
  <r>
    <x v="0"/>
    <x v="33"/>
    <x v="33"/>
    <x v="8"/>
    <x v="8"/>
    <x v="8"/>
    <x v="12"/>
    <x v="73"/>
    <x v="149"/>
    <x v="91"/>
    <x v="444"/>
    <x v="195"/>
    <x v="405"/>
    <x v="1"/>
  </r>
  <r>
    <x v="0"/>
    <x v="33"/>
    <x v="33"/>
    <x v="30"/>
    <x v="30"/>
    <x v="30"/>
    <x v="13"/>
    <x v="74"/>
    <x v="209"/>
    <x v="164"/>
    <x v="446"/>
    <x v="194"/>
    <x v="182"/>
    <x v="1"/>
  </r>
  <r>
    <x v="0"/>
    <x v="33"/>
    <x v="33"/>
    <x v="10"/>
    <x v="10"/>
    <x v="10"/>
    <x v="14"/>
    <x v="229"/>
    <x v="338"/>
    <x v="50"/>
    <x v="175"/>
    <x v="84"/>
    <x v="242"/>
    <x v="1"/>
  </r>
  <r>
    <x v="0"/>
    <x v="33"/>
    <x v="33"/>
    <x v="22"/>
    <x v="22"/>
    <x v="22"/>
    <x v="14"/>
    <x v="229"/>
    <x v="338"/>
    <x v="126"/>
    <x v="447"/>
    <x v="94"/>
    <x v="406"/>
    <x v="1"/>
  </r>
  <r>
    <x v="0"/>
    <x v="33"/>
    <x v="33"/>
    <x v="21"/>
    <x v="21"/>
    <x v="21"/>
    <x v="16"/>
    <x v="142"/>
    <x v="161"/>
    <x v="179"/>
    <x v="26"/>
    <x v="110"/>
    <x v="407"/>
    <x v="1"/>
  </r>
  <r>
    <x v="0"/>
    <x v="33"/>
    <x v="33"/>
    <x v="13"/>
    <x v="13"/>
    <x v="13"/>
    <x v="17"/>
    <x v="125"/>
    <x v="53"/>
    <x v="92"/>
    <x v="365"/>
    <x v="181"/>
    <x v="408"/>
    <x v="1"/>
  </r>
  <r>
    <x v="0"/>
    <x v="33"/>
    <x v="33"/>
    <x v="31"/>
    <x v="31"/>
    <x v="31"/>
    <x v="18"/>
    <x v="116"/>
    <x v="248"/>
    <x v="133"/>
    <x v="445"/>
    <x v="195"/>
    <x v="405"/>
    <x v="4"/>
  </r>
  <r>
    <x v="0"/>
    <x v="33"/>
    <x v="33"/>
    <x v="16"/>
    <x v="16"/>
    <x v="16"/>
    <x v="19"/>
    <x v="278"/>
    <x v="259"/>
    <x v="80"/>
    <x v="398"/>
    <x v="84"/>
    <x v="242"/>
    <x v="1"/>
  </r>
  <r>
    <x v="0"/>
    <x v="34"/>
    <x v="34"/>
    <x v="1"/>
    <x v="1"/>
    <x v="1"/>
    <x v="0"/>
    <x v="275"/>
    <x v="272"/>
    <x v="76"/>
    <x v="448"/>
    <x v="101"/>
    <x v="409"/>
    <x v="1"/>
  </r>
  <r>
    <x v="0"/>
    <x v="34"/>
    <x v="34"/>
    <x v="0"/>
    <x v="0"/>
    <x v="0"/>
    <x v="1"/>
    <x v="51"/>
    <x v="41"/>
    <x v="175"/>
    <x v="449"/>
    <x v="84"/>
    <x v="35"/>
    <x v="1"/>
  </r>
  <r>
    <x v="0"/>
    <x v="34"/>
    <x v="34"/>
    <x v="3"/>
    <x v="3"/>
    <x v="3"/>
    <x v="2"/>
    <x v="222"/>
    <x v="419"/>
    <x v="127"/>
    <x v="450"/>
    <x v="72"/>
    <x v="410"/>
    <x v="1"/>
  </r>
  <r>
    <x v="0"/>
    <x v="34"/>
    <x v="34"/>
    <x v="4"/>
    <x v="4"/>
    <x v="4"/>
    <x v="3"/>
    <x v="53"/>
    <x v="420"/>
    <x v="50"/>
    <x v="451"/>
    <x v="105"/>
    <x v="411"/>
    <x v="1"/>
  </r>
  <r>
    <x v="0"/>
    <x v="34"/>
    <x v="34"/>
    <x v="2"/>
    <x v="2"/>
    <x v="2"/>
    <x v="4"/>
    <x v="277"/>
    <x v="421"/>
    <x v="67"/>
    <x v="218"/>
    <x v="84"/>
    <x v="35"/>
    <x v="4"/>
  </r>
  <r>
    <x v="0"/>
    <x v="34"/>
    <x v="34"/>
    <x v="6"/>
    <x v="6"/>
    <x v="6"/>
    <x v="5"/>
    <x v="73"/>
    <x v="232"/>
    <x v="15"/>
    <x v="452"/>
    <x v="101"/>
    <x v="409"/>
    <x v="1"/>
  </r>
  <r>
    <x v="0"/>
    <x v="34"/>
    <x v="34"/>
    <x v="5"/>
    <x v="5"/>
    <x v="5"/>
    <x v="6"/>
    <x v="228"/>
    <x v="422"/>
    <x v="99"/>
    <x v="453"/>
    <x v="184"/>
    <x v="227"/>
    <x v="4"/>
  </r>
  <r>
    <x v="0"/>
    <x v="34"/>
    <x v="34"/>
    <x v="9"/>
    <x v="9"/>
    <x v="9"/>
    <x v="7"/>
    <x v="141"/>
    <x v="423"/>
    <x v="101"/>
    <x v="454"/>
    <x v="84"/>
    <x v="35"/>
    <x v="1"/>
  </r>
  <r>
    <x v="0"/>
    <x v="34"/>
    <x v="34"/>
    <x v="12"/>
    <x v="12"/>
    <x v="12"/>
    <x v="8"/>
    <x v="253"/>
    <x v="424"/>
    <x v="92"/>
    <x v="402"/>
    <x v="113"/>
    <x v="348"/>
    <x v="1"/>
  </r>
  <r>
    <x v="0"/>
    <x v="34"/>
    <x v="34"/>
    <x v="11"/>
    <x v="11"/>
    <x v="11"/>
    <x v="9"/>
    <x v="115"/>
    <x v="398"/>
    <x v="62"/>
    <x v="428"/>
    <x v="84"/>
    <x v="35"/>
    <x v="1"/>
  </r>
  <r>
    <x v="0"/>
    <x v="34"/>
    <x v="34"/>
    <x v="10"/>
    <x v="10"/>
    <x v="10"/>
    <x v="10"/>
    <x v="230"/>
    <x v="149"/>
    <x v="52"/>
    <x v="455"/>
    <x v="192"/>
    <x v="412"/>
    <x v="1"/>
  </r>
  <r>
    <x v="0"/>
    <x v="34"/>
    <x v="34"/>
    <x v="15"/>
    <x v="15"/>
    <x v="15"/>
    <x v="11"/>
    <x v="233"/>
    <x v="210"/>
    <x v="116"/>
    <x v="151"/>
    <x v="180"/>
    <x v="413"/>
    <x v="4"/>
  </r>
  <r>
    <x v="0"/>
    <x v="34"/>
    <x v="34"/>
    <x v="8"/>
    <x v="8"/>
    <x v="8"/>
    <x v="12"/>
    <x v="242"/>
    <x v="71"/>
    <x v="62"/>
    <x v="428"/>
    <x v="201"/>
    <x v="414"/>
    <x v="1"/>
  </r>
  <r>
    <x v="0"/>
    <x v="34"/>
    <x v="34"/>
    <x v="13"/>
    <x v="13"/>
    <x v="13"/>
    <x v="13"/>
    <x v="234"/>
    <x v="425"/>
    <x v="63"/>
    <x v="326"/>
    <x v="181"/>
    <x v="151"/>
    <x v="1"/>
  </r>
  <r>
    <x v="0"/>
    <x v="34"/>
    <x v="34"/>
    <x v="18"/>
    <x v="18"/>
    <x v="18"/>
    <x v="13"/>
    <x v="234"/>
    <x v="425"/>
    <x v="179"/>
    <x v="456"/>
    <x v="184"/>
    <x v="227"/>
    <x v="1"/>
  </r>
  <r>
    <x v="0"/>
    <x v="34"/>
    <x v="34"/>
    <x v="17"/>
    <x v="17"/>
    <x v="17"/>
    <x v="15"/>
    <x v="293"/>
    <x v="106"/>
    <x v="126"/>
    <x v="372"/>
    <x v="84"/>
    <x v="35"/>
    <x v="1"/>
  </r>
  <r>
    <x v="0"/>
    <x v="34"/>
    <x v="34"/>
    <x v="7"/>
    <x v="7"/>
    <x v="7"/>
    <x v="16"/>
    <x v="294"/>
    <x v="400"/>
    <x v="52"/>
    <x v="455"/>
    <x v="101"/>
    <x v="409"/>
    <x v="1"/>
  </r>
  <r>
    <x v="0"/>
    <x v="34"/>
    <x v="34"/>
    <x v="30"/>
    <x v="30"/>
    <x v="30"/>
    <x v="17"/>
    <x v="256"/>
    <x v="401"/>
    <x v="63"/>
    <x v="326"/>
    <x v="186"/>
    <x v="230"/>
    <x v="1"/>
  </r>
  <r>
    <x v="0"/>
    <x v="34"/>
    <x v="34"/>
    <x v="19"/>
    <x v="19"/>
    <x v="19"/>
    <x v="18"/>
    <x v="257"/>
    <x v="260"/>
    <x v="70"/>
    <x v="457"/>
    <x v="184"/>
    <x v="227"/>
    <x v="1"/>
  </r>
  <r>
    <x v="0"/>
    <x v="34"/>
    <x v="34"/>
    <x v="20"/>
    <x v="20"/>
    <x v="20"/>
    <x v="19"/>
    <x v="258"/>
    <x v="426"/>
    <x v="103"/>
    <x v="195"/>
    <x v="97"/>
    <x v="189"/>
    <x v="1"/>
  </r>
  <r>
    <x v="0"/>
    <x v="35"/>
    <x v="35"/>
    <x v="0"/>
    <x v="0"/>
    <x v="0"/>
    <x v="0"/>
    <x v="224"/>
    <x v="427"/>
    <x v="157"/>
    <x v="458"/>
    <x v="84"/>
    <x v="290"/>
    <x v="1"/>
  </r>
  <r>
    <x v="0"/>
    <x v="35"/>
    <x v="35"/>
    <x v="3"/>
    <x v="3"/>
    <x v="3"/>
    <x v="1"/>
    <x v="299"/>
    <x v="307"/>
    <x v="211"/>
    <x v="433"/>
    <x v="71"/>
    <x v="415"/>
    <x v="1"/>
  </r>
  <r>
    <x v="0"/>
    <x v="35"/>
    <x v="35"/>
    <x v="1"/>
    <x v="1"/>
    <x v="1"/>
    <x v="2"/>
    <x v="108"/>
    <x v="428"/>
    <x v="131"/>
    <x v="459"/>
    <x v="182"/>
    <x v="416"/>
    <x v="1"/>
  </r>
  <r>
    <x v="0"/>
    <x v="35"/>
    <x v="35"/>
    <x v="5"/>
    <x v="5"/>
    <x v="5"/>
    <x v="3"/>
    <x v="66"/>
    <x v="429"/>
    <x v="219"/>
    <x v="460"/>
    <x v="180"/>
    <x v="197"/>
    <x v="1"/>
  </r>
  <r>
    <x v="0"/>
    <x v="35"/>
    <x v="35"/>
    <x v="4"/>
    <x v="4"/>
    <x v="4"/>
    <x v="4"/>
    <x v="165"/>
    <x v="430"/>
    <x v="51"/>
    <x v="461"/>
    <x v="210"/>
    <x v="417"/>
    <x v="1"/>
  </r>
  <r>
    <x v="0"/>
    <x v="35"/>
    <x v="35"/>
    <x v="35"/>
    <x v="35"/>
    <x v="35"/>
    <x v="5"/>
    <x v="69"/>
    <x v="230"/>
    <x v="79"/>
    <x v="462"/>
    <x v="192"/>
    <x v="185"/>
    <x v="1"/>
  </r>
  <r>
    <x v="0"/>
    <x v="35"/>
    <x v="35"/>
    <x v="12"/>
    <x v="12"/>
    <x v="12"/>
    <x v="6"/>
    <x v="90"/>
    <x v="311"/>
    <x v="171"/>
    <x v="77"/>
    <x v="185"/>
    <x v="418"/>
    <x v="1"/>
  </r>
  <r>
    <x v="0"/>
    <x v="35"/>
    <x v="35"/>
    <x v="9"/>
    <x v="9"/>
    <x v="9"/>
    <x v="7"/>
    <x v="140"/>
    <x v="337"/>
    <x v="99"/>
    <x v="463"/>
    <x v="81"/>
    <x v="138"/>
    <x v="1"/>
  </r>
  <r>
    <x v="0"/>
    <x v="35"/>
    <x v="35"/>
    <x v="6"/>
    <x v="6"/>
    <x v="6"/>
    <x v="8"/>
    <x v="73"/>
    <x v="7"/>
    <x v="133"/>
    <x v="419"/>
    <x v="194"/>
    <x v="419"/>
    <x v="1"/>
  </r>
  <r>
    <x v="0"/>
    <x v="35"/>
    <x v="35"/>
    <x v="8"/>
    <x v="8"/>
    <x v="8"/>
    <x v="9"/>
    <x v="240"/>
    <x v="398"/>
    <x v="99"/>
    <x v="463"/>
    <x v="194"/>
    <x v="419"/>
    <x v="1"/>
  </r>
  <r>
    <x v="0"/>
    <x v="35"/>
    <x v="35"/>
    <x v="11"/>
    <x v="11"/>
    <x v="11"/>
    <x v="10"/>
    <x v="142"/>
    <x v="431"/>
    <x v="68"/>
    <x v="464"/>
    <x v="84"/>
    <x v="290"/>
    <x v="1"/>
  </r>
  <r>
    <x v="0"/>
    <x v="35"/>
    <x v="35"/>
    <x v="2"/>
    <x v="2"/>
    <x v="2"/>
    <x v="10"/>
    <x v="142"/>
    <x v="431"/>
    <x v="52"/>
    <x v="290"/>
    <x v="87"/>
    <x v="420"/>
    <x v="1"/>
  </r>
  <r>
    <x v="0"/>
    <x v="35"/>
    <x v="35"/>
    <x v="37"/>
    <x v="37"/>
    <x v="37"/>
    <x v="12"/>
    <x v="115"/>
    <x v="150"/>
    <x v="47"/>
    <x v="465"/>
    <x v="192"/>
    <x v="185"/>
    <x v="1"/>
  </r>
  <r>
    <x v="0"/>
    <x v="35"/>
    <x v="35"/>
    <x v="10"/>
    <x v="10"/>
    <x v="10"/>
    <x v="13"/>
    <x v="241"/>
    <x v="237"/>
    <x v="37"/>
    <x v="110"/>
    <x v="181"/>
    <x v="53"/>
    <x v="1"/>
  </r>
  <r>
    <x v="0"/>
    <x v="35"/>
    <x v="35"/>
    <x v="31"/>
    <x v="31"/>
    <x v="31"/>
    <x v="14"/>
    <x v="231"/>
    <x v="84"/>
    <x v="94"/>
    <x v="466"/>
    <x v="195"/>
    <x v="421"/>
    <x v="1"/>
  </r>
  <r>
    <x v="0"/>
    <x v="35"/>
    <x v="35"/>
    <x v="21"/>
    <x v="21"/>
    <x v="21"/>
    <x v="15"/>
    <x v="233"/>
    <x v="432"/>
    <x v="179"/>
    <x v="33"/>
    <x v="181"/>
    <x v="53"/>
    <x v="1"/>
  </r>
  <r>
    <x v="0"/>
    <x v="35"/>
    <x v="35"/>
    <x v="13"/>
    <x v="13"/>
    <x v="13"/>
    <x v="15"/>
    <x v="233"/>
    <x v="432"/>
    <x v="54"/>
    <x v="391"/>
    <x v="185"/>
    <x v="418"/>
    <x v="1"/>
  </r>
  <r>
    <x v="0"/>
    <x v="35"/>
    <x v="35"/>
    <x v="7"/>
    <x v="7"/>
    <x v="7"/>
    <x v="17"/>
    <x v="254"/>
    <x v="134"/>
    <x v="52"/>
    <x v="290"/>
    <x v="186"/>
    <x v="422"/>
    <x v="1"/>
  </r>
  <r>
    <x v="0"/>
    <x v="35"/>
    <x v="35"/>
    <x v="15"/>
    <x v="15"/>
    <x v="15"/>
    <x v="18"/>
    <x v="295"/>
    <x v="225"/>
    <x v="116"/>
    <x v="151"/>
    <x v="192"/>
    <x v="185"/>
    <x v="1"/>
  </r>
  <r>
    <x v="0"/>
    <x v="35"/>
    <x v="35"/>
    <x v="30"/>
    <x v="30"/>
    <x v="30"/>
    <x v="18"/>
    <x v="295"/>
    <x v="225"/>
    <x v="52"/>
    <x v="290"/>
    <x v="194"/>
    <x v="419"/>
    <x v="1"/>
  </r>
  <r>
    <x v="0"/>
    <x v="36"/>
    <x v="36"/>
    <x v="35"/>
    <x v="35"/>
    <x v="35"/>
    <x v="0"/>
    <x v="300"/>
    <x v="433"/>
    <x v="189"/>
    <x v="257"/>
    <x v="57"/>
    <x v="423"/>
    <x v="4"/>
  </r>
  <r>
    <x v="0"/>
    <x v="36"/>
    <x v="36"/>
    <x v="4"/>
    <x v="4"/>
    <x v="4"/>
    <x v="1"/>
    <x v="221"/>
    <x v="434"/>
    <x v="97"/>
    <x v="308"/>
    <x v="50"/>
    <x v="424"/>
    <x v="1"/>
  </r>
  <r>
    <x v="0"/>
    <x v="36"/>
    <x v="36"/>
    <x v="1"/>
    <x v="1"/>
    <x v="1"/>
    <x v="2"/>
    <x v="200"/>
    <x v="435"/>
    <x v="215"/>
    <x v="467"/>
    <x v="184"/>
    <x v="425"/>
    <x v="1"/>
  </r>
  <r>
    <x v="0"/>
    <x v="36"/>
    <x v="36"/>
    <x v="3"/>
    <x v="3"/>
    <x v="3"/>
    <x v="3"/>
    <x v="52"/>
    <x v="436"/>
    <x v="59"/>
    <x v="468"/>
    <x v="69"/>
    <x v="426"/>
    <x v="1"/>
  </r>
  <r>
    <x v="0"/>
    <x v="36"/>
    <x v="36"/>
    <x v="9"/>
    <x v="9"/>
    <x v="9"/>
    <x v="4"/>
    <x v="165"/>
    <x v="437"/>
    <x v="152"/>
    <x v="469"/>
    <x v="183"/>
    <x v="265"/>
    <x v="1"/>
  </r>
  <r>
    <x v="0"/>
    <x v="36"/>
    <x v="36"/>
    <x v="0"/>
    <x v="0"/>
    <x v="0"/>
    <x v="5"/>
    <x v="100"/>
    <x v="349"/>
    <x v="187"/>
    <x v="470"/>
    <x v="184"/>
    <x v="425"/>
    <x v="1"/>
  </r>
  <r>
    <x v="0"/>
    <x v="36"/>
    <x v="36"/>
    <x v="10"/>
    <x v="10"/>
    <x v="10"/>
    <x v="6"/>
    <x v="69"/>
    <x v="232"/>
    <x v="100"/>
    <x v="471"/>
    <x v="85"/>
    <x v="427"/>
    <x v="1"/>
  </r>
  <r>
    <x v="0"/>
    <x v="36"/>
    <x v="36"/>
    <x v="5"/>
    <x v="5"/>
    <x v="5"/>
    <x v="7"/>
    <x v="139"/>
    <x v="312"/>
    <x v="190"/>
    <x v="472"/>
    <x v="194"/>
    <x v="428"/>
    <x v="1"/>
  </r>
  <r>
    <x v="0"/>
    <x v="36"/>
    <x v="36"/>
    <x v="6"/>
    <x v="6"/>
    <x v="6"/>
    <x v="8"/>
    <x v="58"/>
    <x v="257"/>
    <x v="184"/>
    <x v="473"/>
    <x v="194"/>
    <x v="428"/>
    <x v="1"/>
  </r>
  <r>
    <x v="0"/>
    <x v="36"/>
    <x v="36"/>
    <x v="11"/>
    <x v="11"/>
    <x v="11"/>
    <x v="9"/>
    <x v="74"/>
    <x v="438"/>
    <x v="78"/>
    <x v="474"/>
    <x v="104"/>
    <x v="429"/>
    <x v="1"/>
  </r>
  <r>
    <x v="0"/>
    <x v="36"/>
    <x v="36"/>
    <x v="12"/>
    <x v="12"/>
    <x v="12"/>
    <x v="9"/>
    <x v="74"/>
    <x v="438"/>
    <x v="55"/>
    <x v="464"/>
    <x v="84"/>
    <x v="189"/>
    <x v="1"/>
  </r>
  <r>
    <x v="0"/>
    <x v="36"/>
    <x v="36"/>
    <x v="8"/>
    <x v="8"/>
    <x v="8"/>
    <x v="11"/>
    <x v="113"/>
    <x v="209"/>
    <x v="51"/>
    <x v="475"/>
    <x v="195"/>
    <x v="430"/>
    <x v="1"/>
  </r>
  <r>
    <x v="0"/>
    <x v="36"/>
    <x v="36"/>
    <x v="2"/>
    <x v="2"/>
    <x v="2"/>
    <x v="12"/>
    <x v="232"/>
    <x v="38"/>
    <x v="47"/>
    <x v="132"/>
    <x v="97"/>
    <x v="65"/>
    <x v="1"/>
  </r>
  <r>
    <x v="0"/>
    <x v="36"/>
    <x v="36"/>
    <x v="7"/>
    <x v="7"/>
    <x v="7"/>
    <x v="12"/>
    <x v="232"/>
    <x v="38"/>
    <x v="49"/>
    <x v="465"/>
    <x v="101"/>
    <x v="230"/>
    <x v="1"/>
  </r>
  <r>
    <x v="0"/>
    <x v="36"/>
    <x v="36"/>
    <x v="13"/>
    <x v="13"/>
    <x v="13"/>
    <x v="12"/>
    <x v="232"/>
    <x v="38"/>
    <x v="179"/>
    <x v="31"/>
    <x v="84"/>
    <x v="189"/>
    <x v="1"/>
  </r>
  <r>
    <x v="0"/>
    <x v="36"/>
    <x v="36"/>
    <x v="38"/>
    <x v="38"/>
    <x v="38"/>
    <x v="15"/>
    <x v="278"/>
    <x v="195"/>
    <x v="63"/>
    <x v="238"/>
    <x v="185"/>
    <x v="46"/>
    <x v="1"/>
  </r>
  <r>
    <x v="0"/>
    <x v="36"/>
    <x v="36"/>
    <x v="43"/>
    <x v="43"/>
    <x v="43"/>
    <x v="15"/>
    <x v="278"/>
    <x v="195"/>
    <x v="179"/>
    <x v="31"/>
    <x v="97"/>
    <x v="65"/>
    <x v="1"/>
  </r>
  <r>
    <x v="0"/>
    <x v="36"/>
    <x v="36"/>
    <x v="22"/>
    <x v="22"/>
    <x v="22"/>
    <x v="17"/>
    <x v="294"/>
    <x v="402"/>
    <x v="126"/>
    <x v="50"/>
    <x v="181"/>
    <x v="366"/>
    <x v="1"/>
  </r>
  <r>
    <x v="0"/>
    <x v="36"/>
    <x v="36"/>
    <x v="36"/>
    <x v="36"/>
    <x v="36"/>
    <x v="18"/>
    <x v="295"/>
    <x v="439"/>
    <x v="126"/>
    <x v="50"/>
    <x v="182"/>
    <x v="431"/>
    <x v="1"/>
  </r>
  <r>
    <x v="0"/>
    <x v="36"/>
    <x v="36"/>
    <x v="18"/>
    <x v="18"/>
    <x v="18"/>
    <x v="18"/>
    <x v="295"/>
    <x v="439"/>
    <x v="54"/>
    <x v="398"/>
    <x v="101"/>
    <x v="230"/>
    <x v="1"/>
  </r>
  <r>
    <x v="0"/>
    <x v="36"/>
    <x v="36"/>
    <x v="30"/>
    <x v="30"/>
    <x v="30"/>
    <x v="18"/>
    <x v="295"/>
    <x v="439"/>
    <x v="52"/>
    <x v="391"/>
    <x v="194"/>
    <x v="428"/>
    <x v="1"/>
  </r>
  <r>
    <x v="0"/>
    <x v="37"/>
    <x v="37"/>
    <x v="0"/>
    <x v="0"/>
    <x v="0"/>
    <x v="0"/>
    <x v="222"/>
    <x v="59"/>
    <x v="128"/>
    <x v="476"/>
    <x v="192"/>
    <x v="432"/>
    <x v="1"/>
  </r>
  <r>
    <x v="0"/>
    <x v="37"/>
    <x v="37"/>
    <x v="1"/>
    <x v="1"/>
    <x v="1"/>
    <x v="1"/>
    <x v="284"/>
    <x v="440"/>
    <x v="183"/>
    <x v="477"/>
    <x v="188"/>
    <x v="433"/>
    <x v="1"/>
  </r>
  <r>
    <x v="0"/>
    <x v="37"/>
    <x v="37"/>
    <x v="4"/>
    <x v="4"/>
    <x v="4"/>
    <x v="2"/>
    <x v="68"/>
    <x v="110"/>
    <x v="164"/>
    <x v="478"/>
    <x v="71"/>
    <x v="434"/>
    <x v="1"/>
  </r>
  <r>
    <x v="0"/>
    <x v="37"/>
    <x v="37"/>
    <x v="3"/>
    <x v="3"/>
    <x v="3"/>
    <x v="3"/>
    <x v="57"/>
    <x v="441"/>
    <x v="92"/>
    <x v="479"/>
    <x v="69"/>
    <x v="435"/>
    <x v="1"/>
  </r>
  <r>
    <x v="0"/>
    <x v="37"/>
    <x v="37"/>
    <x v="12"/>
    <x v="12"/>
    <x v="12"/>
    <x v="4"/>
    <x v="267"/>
    <x v="344"/>
    <x v="92"/>
    <x v="479"/>
    <x v="110"/>
    <x v="436"/>
    <x v="1"/>
  </r>
  <r>
    <x v="0"/>
    <x v="37"/>
    <x v="37"/>
    <x v="9"/>
    <x v="9"/>
    <x v="9"/>
    <x v="5"/>
    <x v="74"/>
    <x v="442"/>
    <x v="50"/>
    <x v="480"/>
    <x v="180"/>
    <x v="437"/>
    <x v="1"/>
  </r>
  <r>
    <x v="0"/>
    <x v="37"/>
    <x v="37"/>
    <x v="2"/>
    <x v="2"/>
    <x v="2"/>
    <x v="6"/>
    <x v="253"/>
    <x v="171"/>
    <x v="82"/>
    <x v="481"/>
    <x v="110"/>
    <x v="436"/>
    <x v="1"/>
  </r>
  <r>
    <x v="0"/>
    <x v="37"/>
    <x v="37"/>
    <x v="5"/>
    <x v="5"/>
    <x v="5"/>
    <x v="7"/>
    <x v="240"/>
    <x v="115"/>
    <x v="174"/>
    <x v="482"/>
    <x v="184"/>
    <x v="438"/>
    <x v="1"/>
  </r>
  <r>
    <x v="0"/>
    <x v="37"/>
    <x v="37"/>
    <x v="37"/>
    <x v="37"/>
    <x v="37"/>
    <x v="8"/>
    <x v="115"/>
    <x v="443"/>
    <x v="37"/>
    <x v="341"/>
    <x v="180"/>
    <x v="437"/>
    <x v="1"/>
  </r>
  <r>
    <x v="0"/>
    <x v="37"/>
    <x v="37"/>
    <x v="11"/>
    <x v="11"/>
    <x v="11"/>
    <x v="9"/>
    <x v="116"/>
    <x v="258"/>
    <x v="82"/>
    <x v="481"/>
    <x v="81"/>
    <x v="5"/>
    <x v="1"/>
  </r>
  <r>
    <x v="0"/>
    <x v="37"/>
    <x v="37"/>
    <x v="6"/>
    <x v="6"/>
    <x v="6"/>
    <x v="10"/>
    <x v="230"/>
    <x v="69"/>
    <x v="179"/>
    <x v="483"/>
    <x v="101"/>
    <x v="282"/>
    <x v="8"/>
  </r>
  <r>
    <x v="0"/>
    <x v="37"/>
    <x v="37"/>
    <x v="8"/>
    <x v="8"/>
    <x v="8"/>
    <x v="11"/>
    <x v="241"/>
    <x v="444"/>
    <x v="78"/>
    <x v="484"/>
    <x v="186"/>
    <x v="29"/>
    <x v="1"/>
  </r>
  <r>
    <x v="0"/>
    <x v="37"/>
    <x v="37"/>
    <x v="10"/>
    <x v="10"/>
    <x v="10"/>
    <x v="12"/>
    <x v="233"/>
    <x v="345"/>
    <x v="52"/>
    <x v="175"/>
    <x v="84"/>
    <x v="141"/>
    <x v="1"/>
  </r>
  <r>
    <x v="0"/>
    <x v="37"/>
    <x v="37"/>
    <x v="7"/>
    <x v="7"/>
    <x v="7"/>
    <x v="12"/>
    <x v="233"/>
    <x v="345"/>
    <x v="47"/>
    <x v="11"/>
    <x v="182"/>
    <x v="157"/>
    <x v="1"/>
  </r>
  <r>
    <x v="0"/>
    <x v="37"/>
    <x v="37"/>
    <x v="17"/>
    <x v="17"/>
    <x v="17"/>
    <x v="14"/>
    <x v="242"/>
    <x v="105"/>
    <x v="102"/>
    <x v="485"/>
    <x v="180"/>
    <x v="437"/>
    <x v="1"/>
  </r>
  <r>
    <x v="0"/>
    <x v="37"/>
    <x v="37"/>
    <x v="22"/>
    <x v="22"/>
    <x v="22"/>
    <x v="15"/>
    <x v="234"/>
    <x v="193"/>
    <x v="54"/>
    <x v="110"/>
    <x v="181"/>
    <x v="154"/>
    <x v="1"/>
  </r>
  <r>
    <x v="0"/>
    <x v="37"/>
    <x v="37"/>
    <x v="13"/>
    <x v="13"/>
    <x v="13"/>
    <x v="15"/>
    <x v="234"/>
    <x v="193"/>
    <x v="80"/>
    <x v="357"/>
    <x v="97"/>
    <x v="188"/>
    <x v="1"/>
  </r>
  <r>
    <x v="0"/>
    <x v="37"/>
    <x v="37"/>
    <x v="30"/>
    <x v="30"/>
    <x v="30"/>
    <x v="17"/>
    <x v="254"/>
    <x v="304"/>
    <x v="179"/>
    <x v="483"/>
    <x v="194"/>
    <x v="439"/>
    <x v="1"/>
  </r>
  <r>
    <x v="0"/>
    <x v="37"/>
    <x v="37"/>
    <x v="36"/>
    <x v="36"/>
    <x v="36"/>
    <x v="18"/>
    <x v="295"/>
    <x v="445"/>
    <x v="70"/>
    <x v="346"/>
    <x v="181"/>
    <x v="154"/>
    <x v="1"/>
  </r>
  <r>
    <x v="0"/>
    <x v="37"/>
    <x v="37"/>
    <x v="16"/>
    <x v="16"/>
    <x v="16"/>
    <x v="19"/>
    <x v="255"/>
    <x v="162"/>
    <x v="53"/>
    <x v="98"/>
    <x v="181"/>
    <x v="154"/>
    <x v="1"/>
  </r>
  <r>
    <x v="0"/>
    <x v="37"/>
    <x v="37"/>
    <x v="14"/>
    <x v="14"/>
    <x v="14"/>
    <x v="19"/>
    <x v="255"/>
    <x v="162"/>
    <x v="56"/>
    <x v="14"/>
    <x v="84"/>
    <x v="141"/>
    <x v="1"/>
  </r>
  <r>
    <x v="0"/>
    <x v="38"/>
    <x v="38"/>
    <x v="1"/>
    <x v="1"/>
    <x v="1"/>
    <x v="0"/>
    <x v="237"/>
    <x v="446"/>
    <x v="172"/>
    <x v="486"/>
    <x v="46"/>
    <x v="197"/>
    <x v="1"/>
  </r>
  <r>
    <x v="0"/>
    <x v="38"/>
    <x v="38"/>
    <x v="4"/>
    <x v="4"/>
    <x v="4"/>
    <x v="1"/>
    <x v="223"/>
    <x v="447"/>
    <x v="127"/>
    <x v="487"/>
    <x v="135"/>
    <x v="440"/>
    <x v="1"/>
  </r>
  <r>
    <x v="0"/>
    <x v="38"/>
    <x v="38"/>
    <x v="3"/>
    <x v="3"/>
    <x v="3"/>
    <x v="2"/>
    <x v="301"/>
    <x v="448"/>
    <x v="212"/>
    <x v="488"/>
    <x v="47"/>
    <x v="441"/>
    <x v="1"/>
  </r>
  <r>
    <x v="0"/>
    <x v="38"/>
    <x v="38"/>
    <x v="0"/>
    <x v="0"/>
    <x v="0"/>
    <x v="3"/>
    <x v="200"/>
    <x v="253"/>
    <x v="32"/>
    <x v="489"/>
    <x v="192"/>
    <x v="442"/>
    <x v="4"/>
  </r>
  <r>
    <x v="0"/>
    <x v="38"/>
    <x v="38"/>
    <x v="25"/>
    <x v="25"/>
    <x v="25"/>
    <x v="4"/>
    <x v="49"/>
    <x v="449"/>
    <x v="89"/>
    <x v="58"/>
    <x v="183"/>
    <x v="48"/>
    <x v="1"/>
  </r>
  <r>
    <x v="0"/>
    <x v="38"/>
    <x v="38"/>
    <x v="35"/>
    <x v="35"/>
    <x v="35"/>
    <x v="5"/>
    <x v="83"/>
    <x v="450"/>
    <x v="220"/>
    <x v="246"/>
    <x v="73"/>
    <x v="50"/>
    <x v="1"/>
  </r>
  <r>
    <x v="0"/>
    <x v="38"/>
    <x v="38"/>
    <x v="5"/>
    <x v="5"/>
    <x v="5"/>
    <x v="6"/>
    <x v="222"/>
    <x v="451"/>
    <x v="97"/>
    <x v="490"/>
    <x v="110"/>
    <x v="46"/>
    <x v="8"/>
  </r>
  <r>
    <x v="0"/>
    <x v="38"/>
    <x v="38"/>
    <x v="6"/>
    <x v="6"/>
    <x v="6"/>
    <x v="7"/>
    <x v="208"/>
    <x v="452"/>
    <x v="211"/>
    <x v="491"/>
    <x v="91"/>
    <x v="105"/>
    <x v="4"/>
  </r>
  <r>
    <x v="0"/>
    <x v="38"/>
    <x v="38"/>
    <x v="2"/>
    <x v="2"/>
    <x v="2"/>
    <x v="8"/>
    <x v="67"/>
    <x v="130"/>
    <x v="208"/>
    <x v="254"/>
    <x v="71"/>
    <x v="443"/>
    <x v="1"/>
  </r>
  <r>
    <x v="0"/>
    <x v="38"/>
    <x v="38"/>
    <x v="9"/>
    <x v="9"/>
    <x v="9"/>
    <x v="9"/>
    <x v="102"/>
    <x v="378"/>
    <x v="64"/>
    <x v="492"/>
    <x v="46"/>
    <x v="197"/>
    <x v="1"/>
  </r>
  <r>
    <x v="0"/>
    <x v="38"/>
    <x v="38"/>
    <x v="12"/>
    <x v="12"/>
    <x v="12"/>
    <x v="10"/>
    <x v="137"/>
    <x v="48"/>
    <x v="198"/>
    <x v="493"/>
    <x v="180"/>
    <x v="444"/>
    <x v="1"/>
  </r>
  <r>
    <x v="0"/>
    <x v="38"/>
    <x v="38"/>
    <x v="10"/>
    <x v="10"/>
    <x v="10"/>
    <x v="11"/>
    <x v="57"/>
    <x v="313"/>
    <x v="101"/>
    <x v="494"/>
    <x v="85"/>
    <x v="42"/>
    <x v="1"/>
  </r>
  <r>
    <x v="0"/>
    <x v="38"/>
    <x v="38"/>
    <x v="15"/>
    <x v="15"/>
    <x v="15"/>
    <x v="12"/>
    <x v="58"/>
    <x v="173"/>
    <x v="69"/>
    <x v="37"/>
    <x v="46"/>
    <x v="197"/>
    <x v="1"/>
  </r>
  <r>
    <x v="0"/>
    <x v="38"/>
    <x v="38"/>
    <x v="11"/>
    <x v="11"/>
    <x v="11"/>
    <x v="13"/>
    <x v="277"/>
    <x v="174"/>
    <x v="75"/>
    <x v="255"/>
    <x v="87"/>
    <x v="33"/>
    <x v="1"/>
  </r>
  <r>
    <x v="0"/>
    <x v="38"/>
    <x v="38"/>
    <x v="7"/>
    <x v="7"/>
    <x v="7"/>
    <x v="14"/>
    <x v="240"/>
    <x v="85"/>
    <x v="133"/>
    <x v="192"/>
    <x v="185"/>
    <x v="110"/>
    <x v="1"/>
  </r>
  <r>
    <x v="0"/>
    <x v="38"/>
    <x v="38"/>
    <x v="8"/>
    <x v="8"/>
    <x v="8"/>
    <x v="15"/>
    <x v="229"/>
    <x v="372"/>
    <x v="174"/>
    <x v="495"/>
    <x v="101"/>
    <x v="77"/>
    <x v="1"/>
  </r>
  <r>
    <x v="0"/>
    <x v="38"/>
    <x v="38"/>
    <x v="13"/>
    <x v="13"/>
    <x v="13"/>
    <x v="16"/>
    <x v="115"/>
    <x v="270"/>
    <x v="66"/>
    <x v="18"/>
    <x v="192"/>
    <x v="442"/>
    <x v="1"/>
  </r>
  <r>
    <x v="0"/>
    <x v="38"/>
    <x v="38"/>
    <x v="17"/>
    <x v="17"/>
    <x v="17"/>
    <x v="17"/>
    <x v="116"/>
    <x v="238"/>
    <x v="66"/>
    <x v="18"/>
    <x v="192"/>
    <x v="442"/>
    <x v="1"/>
  </r>
  <r>
    <x v="0"/>
    <x v="38"/>
    <x v="38"/>
    <x v="22"/>
    <x v="22"/>
    <x v="22"/>
    <x v="18"/>
    <x v="230"/>
    <x v="196"/>
    <x v="63"/>
    <x v="50"/>
    <x v="188"/>
    <x v="12"/>
    <x v="1"/>
  </r>
  <r>
    <x v="0"/>
    <x v="38"/>
    <x v="38"/>
    <x v="21"/>
    <x v="21"/>
    <x v="21"/>
    <x v="19"/>
    <x v="241"/>
    <x v="134"/>
    <x v="102"/>
    <x v="116"/>
    <x v="104"/>
    <x v="205"/>
    <x v="1"/>
  </r>
  <r>
    <x v="0"/>
    <x v="39"/>
    <x v="39"/>
    <x v="4"/>
    <x v="4"/>
    <x v="4"/>
    <x v="0"/>
    <x v="142"/>
    <x v="453"/>
    <x v="126"/>
    <x v="496"/>
    <x v="68"/>
    <x v="445"/>
    <x v="1"/>
  </r>
  <r>
    <x v="0"/>
    <x v="39"/>
    <x v="39"/>
    <x v="0"/>
    <x v="0"/>
    <x v="0"/>
    <x v="1"/>
    <x v="287"/>
    <x v="1"/>
    <x v="110"/>
    <x v="497"/>
    <x v="84"/>
    <x v="446"/>
    <x v="1"/>
  </r>
  <r>
    <x v="0"/>
    <x v="39"/>
    <x v="39"/>
    <x v="9"/>
    <x v="9"/>
    <x v="9"/>
    <x v="2"/>
    <x v="231"/>
    <x v="454"/>
    <x v="52"/>
    <x v="498"/>
    <x v="185"/>
    <x v="447"/>
    <x v="1"/>
  </r>
  <r>
    <x v="0"/>
    <x v="39"/>
    <x v="39"/>
    <x v="1"/>
    <x v="1"/>
    <x v="1"/>
    <x v="3"/>
    <x v="233"/>
    <x v="455"/>
    <x v="49"/>
    <x v="499"/>
    <x v="186"/>
    <x v="242"/>
    <x v="1"/>
  </r>
  <r>
    <x v="0"/>
    <x v="39"/>
    <x v="39"/>
    <x v="10"/>
    <x v="10"/>
    <x v="10"/>
    <x v="4"/>
    <x v="234"/>
    <x v="456"/>
    <x v="126"/>
    <x v="496"/>
    <x v="81"/>
    <x v="448"/>
    <x v="1"/>
  </r>
  <r>
    <x v="0"/>
    <x v="39"/>
    <x v="39"/>
    <x v="6"/>
    <x v="6"/>
    <x v="6"/>
    <x v="5"/>
    <x v="293"/>
    <x v="457"/>
    <x v="70"/>
    <x v="57"/>
    <x v="181"/>
    <x v="377"/>
    <x v="1"/>
  </r>
  <r>
    <x v="0"/>
    <x v="39"/>
    <x v="39"/>
    <x v="18"/>
    <x v="18"/>
    <x v="18"/>
    <x v="6"/>
    <x v="255"/>
    <x v="311"/>
    <x v="56"/>
    <x v="237"/>
    <x v="84"/>
    <x v="446"/>
    <x v="1"/>
  </r>
  <r>
    <x v="0"/>
    <x v="39"/>
    <x v="39"/>
    <x v="7"/>
    <x v="7"/>
    <x v="7"/>
    <x v="7"/>
    <x v="256"/>
    <x v="352"/>
    <x v="102"/>
    <x v="500"/>
    <x v="184"/>
    <x v="372"/>
    <x v="1"/>
  </r>
  <r>
    <x v="0"/>
    <x v="39"/>
    <x v="39"/>
    <x v="5"/>
    <x v="5"/>
    <x v="5"/>
    <x v="8"/>
    <x v="257"/>
    <x v="29"/>
    <x v="80"/>
    <x v="501"/>
    <x v="201"/>
    <x v="449"/>
    <x v="1"/>
  </r>
  <r>
    <x v="0"/>
    <x v="39"/>
    <x v="39"/>
    <x v="3"/>
    <x v="3"/>
    <x v="3"/>
    <x v="9"/>
    <x v="258"/>
    <x v="458"/>
    <x v="53"/>
    <x v="279"/>
    <x v="184"/>
    <x v="372"/>
    <x v="1"/>
  </r>
  <r>
    <x v="0"/>
    <x v="39"/>
    <x v="39"/>
    <x v="19"/>
    <x v="19"/>
    <x v="19"/>
    <x v="10"/>
    <x v="259"/>
    <x v="363"/>
    <x v="69"/>
    <x v="502"/>
    <x v="97"/>
    <x v="450"/>
    <x v="1"/>
  </r>
  <r>
    <x v="0"/>
    <x v="39"/>
    <x v="39"/>
    <x v="12"/>
    <x v="12"/>
    <x v="12"/>
    <x v="11"/>
    <x v="260"/>
    <x v="101"/>
    <x v="56"/>
    <x v="237"/>
    <x v="101"/>
    <x v="38"/>
    <x v="1"/>
  </r>
  <r>
    <x v="0"/>
    <x v="39"/>
    <x v="39"/>
    <x v="2"/>
    <x v="2"/>
    <x v="2"/>
    <x v="11"/>
    <x v="260"/>
    <x v="101"/>
    <x v="116"/>
    <x v="151"/>
    <x v="97"/>
    <x v="450"/>
    <x v="1"/>
  </r>
  <r>
    <x v="0"/>
    <x v="39"/>
    <x v="39"/>
    <x v="13"/>
    <x v="13"/>
    <x v="13"/>
    <x v="11"/>
    <x v="260"/>
    <x v="101"/>
    <x v="53"/>
    <x v="279"/>
    <x v="186"/>
    <x v="242"/>
    <x v="1"/>
  </r>
  <r>
    <x v="0"/>
    <x v="39"/>
    <x v="39"/>
    <x v="8"/>
    <x v="8"/>
    <x v="8"/>
    <x v="14"/>
    <x v="302"/>
    <x v="210"/>
    <x v="102"/>
    <x v="500"/>
    <x v="201"/>
    <x v="449"/>
    <x v="1"/>
  </r>
  <r>
    <x v="0"/>
    <x v="39"/>
    <x v="39"/>
    <x v="20"/>
    <x v="20"/>
    <x v="20"/>
    <x v="14"/>
    <x v="302"/>
    <x v="210"/>
    <x v="116"/>
    <x v="151"/>
    <x v="182"/>
    <x v="268"/>
    <x v="1"/>
  </r>
  <r>
    <x v="0"/>
    <x v="39"/>
    <x v="39"/>
    <x v="15"/>
    <x v="15"/>
    <x v="15"/>
    <x v="16"/>
    <x v="303"/>
    <x v="425"/>
    <x v="116"/>
    <x v="151"/>
    <x v="184"/>
    <x v="372"/>
    <x v="1"/>
  </r>
  <r>
    <x v="0"/>
    <x v="39"/>
    <x v="39"/>
    <x v="22"/>
    <x v="22"/>
    <x v="22"/>
    <x v="17"/>
    <x v="304"/>
    <x v="55"/>
    <x v="69"/>
    <x v="502"/>
    <x v="186"/>
    <x v="242"/>
    <x v="1"/>
  </r>
  <r>
    <x v="0"/>
    <x v="39"/>
    <x v="39"/>
    <x v="11"/>
    <x v="11"/>
    <x v="11"/>
    <x v="17"/>
    <x v="304"/>
    <x v="55"/>
    <x v="116"/>
    <x v="151"/>
    <x v="101"/>
    <x v="38"/>
    <x v="1"/>
  </r>
  <r>
    <x v="0"/>
    <x v="39"/>
    <x v="39"/>
    <x v="44"/>
    <x v="44"/>
    <x v="44"/>
    <x v="17"/>
    <x v="304"/>
    <x v="55"/>
    <x v="116"/>
    <x v="151"/>
    <x v="101"/>
    <x v="38"/>
    <x v="1"/>
  </r>
  <r>
    <x v="0"/>
    <x v="39"/>
    <x v="39"/>
    <x v="30"/>
    <x v="30"/>
    <x v="30"/>
    <x v="17"/>
    <x v="304"/>
    <x v="55"/>
    <x v="53"/>
    <x v="279"/>
    <x v="201"/>
    <x v="449"/>
    <x v="1"/>
  </r>
  <r>
    <x v="0"/>
    <x v="40"/>
    <x v="40"/>
    <x v="36"/>
    <x v="36"/>
    <x v="36"/>
    <x v="0"/>
    <x v="248"/>
    <x v="459"/>
    <x v="221"/>
    <x v="503"/>
    <x v="55"/>
    <x v="451"/>
    <x v="1"/>
  </r>
  <r>
    <x v="0"/>
    <x v="40"/>
    <x v="40"/>
    <x v="4"/>
    <x v="4"/>
    <x v="4"/>
    <x v="1"/>
    <x v="137"/>
    <x v="404"/>
    <x v="163"/>
    <x v="504"/>
    <x v="73"/>
    <x v="452"/>
    <x v="1"/>
  </r>
  <r>
    <x v="0"/>
    <x v="40"/>
    <x v="40"/>
    <x v="1"/>
    <x v="1"/>
    <x v="1"/>
    <x v="2"/>
    <x v="227"/>
    <x v="375"/>
    <x v="127"/>
    <x v="505"/>
    <x v="195"/>
    <x v="453"/>
    <x v="1"/>
  </r>
  <r>
    <x v="0"/>
    <x v="40"/>
    <x v="40"/>
    <x v="9"/>
    <x v="9"/>
    <x v="9"/>
    <x v="3"/>
    <x v="140"/>
    <x v="437"/>
    <x v="208"/>
    <x v="109"/>
    <x v="97"/>
    <x v="454"/>
    <x v="1"/>
  </r>
  <r>
    <x v="0"/>
    <x v="40"/>
    <x v="40"/>
    <x v="3"/>
    <x v="3"/>
    <x v="3"/>
    <x v="4"/>
    <x v="267"/>
    <x v="128"/>
    <x v="194"/>
    <x v="277"/>
    <x v="91"/>
    <x v="252"/>
    <x v="1"/>
  </r>
  <r>
    <x v="0"/>
    <x v="40"/>
    <x v="40"/>
    <x v="0"/>
    <x v="0"/>
    <x v="0"/>
    <x v="5"/>
    <x v="240"/>
    <x v="278"/>
    <x v="164"/>
    <x v="506"/>
    <x v="201"/>
    <x v="455"/>
    <x v="1"/>
  </r>
  <r>
    <x v="0"/>
    <x v="40"/>
    <x v="40"/>
    <x v="10"/>
    <x v="10"/>
    <x v="10"/>
    <x v="6"/>
    <x v="124"/>
    <x v="395"/>
    <x v="68"/>
    <x v="95"/>
    <x v="181"/>
    <x v="456"/>
    <x v="1"/>
  </r>
  <r>
    <x v="0"/>
    <x v="40"/>
    <x v="40"/>
    <x v="12"/>
    <x v="12"/>
    <x v="12"/>
    <x v="7"/>
    <x v="287"/>
    <x v="460"/>
    <x v="68"/>
    <x v="95"/>
    <x v="184"/>
    <x v="56"/>
    <x v="1"/>
  </r>
  <r>
    <x v="0"/>
    <x v="40"/>
    <x v="40"/>
    <x v="5"/>
    <x v="5"/>
    <x v="5"/>
    <x v="8"/>
    <x v="115"/>
    <x v="461"/>
    <x v="68"/>
    <x v="95"/>
    <x v="101"/>
    <x v="258"/>
    <x v="1"/>
  </r>
  <r>
    <x v="0"/>
    <x v="40"/>
    <x v="40"/>
    <x v="17"/>
    <x v="17"/>
    <x v="17"/>
    <x v="9"/>
    <x v="293"/>
    <x v="176"/>
    <x v="52"/>
    <x v="437"/>
    <x v="184"/>
    <x v="56"/>
    <x v="1"/>
  </r>
  <r>
    <x v="0"/>
    <x v="40"/>
    <x v="40"/>
    <x v="11"/>
    <x v="11"/>
    <x v="11"/>
    <x v="10"/>
    <x v="254"/>
    <x v="223"/>
    <x v="66"/>
    <x v="495"/>
    <x v="195"/>
    <x v="453"/>
    <x v="1"/>
  </r>
  <r>
    <x v="0"/>
    <x v="40"/>
    <x v="40"/>
    <x v="26"/>
    <x v="26"/>
    <x v="26"/>
    <x v="11"/>
    <x v="256"/>
    <x v="462"/>
    <x v="126"/>
    <x v="265"/>
    <x v="101"/>
    <x v="258"/>
    <x v="1"/>
  </r>
  <r>
    <x v="0"/>
    <x v="40"/>
    <x v="40"/>
    <x v="7"/>
    <x v="7"/>
    <x v="7"/>
    <x v="12"/>
    <x v="257"/>
    <x v="38"/>
    <x v="52"/>
    <x v="437"/>
    <x v="193"/>
    <x v="264"/>
    <x v="1"/>
  </r>
  <r>
    <x v="0"/>
    <x v="40"/>
    <x v="40"/>
    <x v="13"/>
    <x v="13"/>
    <x v="13"/>
    <x v="12"/>
    <x v="257"/>
    <x v="38"/>
    <x v="126"/>
    <x v="265"/>
    <x v="186"/>
    <x v="66"/>
    <x v="1"/>
  </r>
  <r>
    <x v="0"/>
    <x v="40"/>
    <x v="40"/>
    <x v="6"/>
    <x v="6"/>
    <x v="6"/>
    <x v="12"/>
    <x v="257"/>
    <x v="38"/>
    <x v="54"/>
    <x v="110"/>
    <x v="195"/>
    <x v="453"/>
    <x v="1"/>
  </r>
  <r>
    <x v="0"/>
    <x v="40"/>
    <x v="40"/>
    <x v="30"/>
    <x v="30"/>
    <x v="30"/>
    <x v="12"/>
    <x v="257"/>
    <x v="38"/>
    <x v="54"/>
    <x v="110"/>
    <x v="195"/>
    <x v="453"/>
    <x v="1"/>
  </r>
  <r>
    <x v="0"/>
    <x v="40"/>
    <x v="40"/>
    <x v="15"/>
    <x v="15"/>
    <x v="15"/>
    <x v="16"/>
    <x v="258"/>
    <x v="195"/>
    <x v="69"/>
    <x v="282"/>
    <x v="181"/>
    <x v="456"/>
    <x v="1"/>
  </r>
  <r>
    <x v="0"/>
    <x v="40"/>
    <x v="40"/>
    <x v="35"/>
    <x v="35"/>
    <x v="35"/>
    <x v="17"/>
    <x v="259"/>
    <x v="401"/>
    <x v="56"/>
    <x v="14"/>
    <x v="184"/>
    <x v="56"/>
    <x v="1"/>
  </r>
  <r>
    <x v="0"/>
    <x v="40"/>
    <x v="40"/>
    <x v="8"/>
    <x v="8"/>
    <x v="8"/>
    <x v="17"/>
    <x v="259"/>
    <x v="401"/>
    <x v="63"/>
    <x v="188"/>
    <x v="201"/>
    <x v="455"/>
    <x v="1"/>
  </r>
  <r>
    <x v="0"/>
    <x v="40"/>
    <x v="40"/>
    <x v="41"/>
    <x v="41"/>
    <x v="41"/>
    <x v="19"/>
    <x v="260"/>
    <x v="402"/>
    <x v="53"/>
    <x v="502"/>
    <x v="186"/>
    <x v="66"/>
    <x v="1"/>
  </r>
  <r>
    <x v="0"/>
    <x v="40"/>
    <x v="40"/>
    <x v="37"/>
    <x v="37"/>
    <x v="37"/>
    <x v="19"/>
    <x v="260"/>
    <x v="402"/>
    <x v="70"/>
    <x v="507"/>
    <x v="194"/>
    <x v="244"/>
    <x v="1"/>
  </r>
  <r>
    <x v="0"/>
    <x v="41"/>
    <x v="41"/>
    <x v="4"/>
    <x v="4"/>
    <x v="4"/>
    <x v="0"/>
    <x v="276"/>
    <x v="463"/>
    <x v="179"/>
    <x v="508"/>
    <x v="75"/>
    <x v="457"/>
    <x v="1"/>
  </r>
  <r>
    <x v="0"/>
    <x v="41"/>
    <x v="41"/>
    <x v="1"/>
    <x v="1"/>
    <x v="1"/>
    <x v="1"/>
    <x v="251"/>
    <x v="358"/>
    <x v="67"/>
    <x v="509"/>
    <x v="181"/>
    <x v="142"/>
    <x v="1"/>
  </r>
  <r>
    <x v="0"/>
    <x v="41"/>
    <x v="41"/>
    <x v="0"/>
    <x v="0"/>
    <x v="0"/>
    <x v="2"/>
    <x v="267"/>
    <x v="464"/>
    <x v="93"/>
    <x v="510"/>
    <x v="186"/>
    <x v="458"/>
    <x v="1"/>
  </r>
  <r>
    <x v="0"/>
    <x v="41"/>
    <x v="41"/>
    <x v="17"/>
    <x v="17"/>
    <x v="17"/>
    <x v="3"/>
    <x v="252"/>
    <x v="465"/>
    <x v="66"/>
    <x v="387"/>
    <x v="94"/>
    <x v="459"/>
    <x v="1"/>
  </r>
  <r>
    <x v="0"/>
    <x v="41"/>
    <x v="41"/>
    <x v="9"/>
    <x v="9"/>
    <x v="9"/>
    <x v="4"/>
    <x v="253"/>
    <x v="466"/>
    <x v="47"/>
    <x v="511"/>
    <x v="204"/>
    <x v="460"/>
    <x v="1"/>
  </r>
  <r>
    <x v="0"/>
    <x v="41"/>
    <x v="41"/>
    <x v="2"/>
    <x v="2"/>
    <x v="2"/>
    <x v="5"/>
    <x v="125"/>
    <x v="467"/>
    <x v="54"/>
    <x v="446"/>
    <x v="87"/>
    <x v="461"/>
    <x v="1"/>
  </r>
  <r>
    <x v="0"/>
    <x v="41"/>
    <x v="41"/>
    <x v="3"/>
    <x v="3"/>
    <x v="3"/>
    <x v="6"/>
    <x v="115"/>
    <x v="370"/>
    <x v="49"/>
    <x v="512"/>
    <x v="81"/>
    <x v="50"/>
    <x v="1"/>
  </r>
  <r>
    <x v="0"/>
    <x v="41"/>
    <x v="41"/>
    <x v="10"/>
    <x v="10"/>
    <x v="10"/>
    <x v="7"/>
    <x v="231"/>
    <x v="222"/>
    <x v="102"/>
    <x v="147"/>
    <x v="188"/>
    <x v="462"/>
    <x v="1"/>
  </r>
  <r>
    <x v="0"/>
    <x v="41"/>
    <x v="41"/>
    <x v="12"/>
    <x v="12"/>
    <x v="12"/>
    <x v="8"/>
    <x v="232"/>
    <x v="468"/>
    <x v="47"/>
    <x v="511"/>
    <x v="97"/>
    <x v="231"/>
    <x v="1"/>
  </r>
  <r>
    <x v="0"/>
    <x v="41"/>
    <x v="41"/>
    <x v="6"/>
    <x v="6"/>
    <x v="6"/>
    <x v="8"/>
    <x v="232"/>
    <x v="468"/>
    <x v="82"/>
    <x v="309"/>
    <x v="186"/>
    <x v="458"/>
    <x v="1"/>
  </r>
  <r>
    <x v="0"/>
    <x v="41"/>
    <x v="41"/>
    <x v="5"/>
    <x v="5"/>
    <x v="5"/>
    <x v="10"/>
    <x v="242"/>
    <x v="319"/>
    <x v="37"/>
    <x v="513"/>
    <x v="186"/>
    <x v="458"/>
    <x v="1"/>
  </r>
  <r>
    <x v="0"/>
    <x v="41"/>
    <x v="41"/>
    <x v="30"/>
    <x v="30"/>
    <x v="30"/>
    <x v="10"/>
    <x v="242"/>
    <x v="319"/>
    <x v="47"/>
    <x v="511"/>
    <x v="101"/>
    <x v="438"/>
    <x v="1"/>
  </r>
  <r>
    <x v="0"/>
    <x v="41"/>
    <x v="41"/>
    <x v="26"/>
    <x v="26"/>
    <x v="26"/>
    <x v="12"/>
    <x v="234"/>
    <x v="303"/>
    <x v="56"/>
    <x v="231"/>
    <x v="113"/>
    <x v="463"/>
    <x v="1"/>
  </r>
  <r>
    <x v="0"/>
    <x v="41"/>
    <x v="41"/>
    <x v="13"/>
    <x v="13"/>
    <x v="13"/>
    <x v="13"/>
    <x v="294"/>
    <x v="119"/>
    <x v="126"/>
    <x v="483"/>
    <x v="181"/>
    <x v="142"/>
    <x v="1"/>
  </r>
  <r>
    <x v="0"/>
    <x v="41"/>
    <x v="41"/>
    <x v="7"/>
    <x v="7"/>
    <x v="7"/>
    <x v="14"/>
    <x v="254"/>
    <x v="102"/>
    <x v="80"/>
    <x v="514"/>
    <x v="101"/>
    <x v="438"/>
    <x v="1"/>
  </r>
  <r>
    <x v="0"/>
    <x v="41"/>
    <x v="41"/>
    <x v="8"/>
    <x v="8"/>
    <x v="8"/>
    <x v="14"/>
    <x v="254"/>
    <x v="102"/>
    <x v="66"/>
    <x v="387"/>
    <x v="195"/>
    <x v="464"/>
    <x v="1"/>
  </r>
  <r>
    <x v="0"/>
    <x v="41"/>
    <x v="41"/>
    <x v="22"/>
    <x v="22"/>
    <x v="22"/>
    <x v="16"/>
    <x v="257"/>
    <x v="432"/>
    <x v="69"/>
    <x v="117"/>
    <x v="84"/>
    <x v="233"/>
    <x v="1"/>
  </r>
  <r>
    <x v="0"/>
    <x v="41"/>
    <x v="41"/>
    <x v="45"/>
    <x v="45"/>
    <x v="45"/>
    <x v="17"/>
    <x v="258"/>
    <x v="87"/>
    <x v="69"/>
    <x v="117"/>
    <x v="181"/>
    <x v="142"/>
    <x v="1"/>
  </r>
  <r>
    <x v="0"/>
    <x v="41"/>
    <x v="41"/>
    <x v="15"/>
    <x v="15"/>
    <x v="15"/>
    <x v="17"/>
    <x v="258"/>
    <x v="87"/>
    <x v="116"/>
    <x v="151"/>
    <x v="184"/>
    <x v="168"/>
    <x v="1"/>
  </r>
  <r>
    <x v="0"/>
    <x v="41"/>
    <x v="41"/>
    <x v="39"/>
    <x v="39"/>
    <x v="39"/>
    <x v="19"/>
    <x v="259"/>
    <x v="195"/>
    <x v="53"/>
    <x v="515"/>
    <x v="101"/>
    <x v="438"/>
    <x v="1"/>
  </r>
  <r>
    <x v="0"/>
    <x v="41"/>
    <x v="41"/>
    <x v="40"/>
    <x v="40"/>
    <x v="40"/>
    <x v="19"/>
    <x v="259"/>
    <x v="195"/>
    <x v="69"/>
    <x v="117"/>
    <x v="97"/>
    <x v="231"/>
    <x v="1"/>
  </r>
  <r>
    <x v="0"/>
    <x v="41"/>
    <x v="41"/>
    <x v="19"/>
    <x v="19"/>
    <x v="19"/>
    <x v="19"/>
    <x v="259"/>
    <x v="195"/>
    <x v="69"/>
    <x v="117"/>
    <x v="97"/>
    <x v="231"/>
    <x v="1"/>
  </r>
  <r>
    <x v="0"/>
    <x v="42"/>
    <x v="42"/>
    <x v="1"/>
    <x v="1"/>
    <x v="1"/>
    <x v="0"/>
    <x v="53"/>
    <x v="469"/>
    <x v="211"/>
    <x v="516"/>
    <x v="181"/>
    <x v="210"/>
    <x v="1"/>
  </r>
  <r>
    <x v="0"/>
    <x v="42"/>
    <x v="42"/>
    <x v="0"/>
    <x v="0"/>
    <x v="0"/>
    <x v="1"/>
    <x v="137"/>
    <x v="470"/>
    <x v="115"/>
    <x v="517"/>
    <x v="195"/>
    <x v="465"/>
    <x v="1"/>
  </r>
  <r>
    <x v="0"/>
    <x v="42"/>
    <x v="42"/>
    <x v="4"/>
    <x v="4"/>
    <x v="4"/>
    <x v="2"/>
    <x v="253"/>
    <x v="471"/>
    <x v="53"/>
    <x v="337"/>
    <x v="74"/>
    <x v="466"/>
    <x v="1"/>
  </r>
  <r>
    <x v="0"/>
    <x v="42"/>
    <x v="42"/>
    <x v="6"/>
    <x v="6"/>
    <x v="6"/>
    <x v="3"/>
    <x v="229"/>
    <x v="472"/>
    <x v="55"/>
    <x v="518"/>
    <x v="182"/>
    <x v="33"/>
    <x v="1"/>
  </r>
  <r>
    <x v="0"/>
    <x v="42"/>
    <x v="42"/>
    <x v="3"/>
    <x v="3"/>
    <x v="3"/>
    <x v="4"/>
    <x v="126"/>
    <x v="473"/>
    <x v="37"/>
    <x v="519"/>
    <x v="81"/>
    <x v="202"/>
    <x v="1"/>
  </r>
  <r>
    <x v="0"/>
    <x v="42"/>
    <x v="42"/>
    <x v="2"/>
    <x v="2"/>
    <x v="2"/>
    <x v="4"/>
    <x v="126"/>
    <x v="473"/>
    <x v="126"/>
    <x v="520"/>
    <x v="183"/>
    <x v="467"/>
    <x v="1"/>
  </r>
  <r>
    <x v="0"/>
    <x v="42"/>
    <x v="42"/>
    <x v="10"/>
    <x v="10"/>
    <x v="10"/>
    <x v="6"/>
    <x v="241"/>
    <x v="474"/>
    <x v="53"/>
    <x v="337"/>
    <x v="62"/>
    <x v="468"/>
    <x v="1"/>
  </r>
  <r>
    <x v="0"/>
    <x v="42"/>
    <x v="42"/>
    <x v="9"/>
    <x v="9"/>
    <x v="9"/>
    <x v="7"/>
    <x v="232"/>
    <x v="475"/>
    <x v="179"/>
    <x v="521"/>
    <x v="84"/>
    <x v="286"/>
    <x v="1"/>
  </r>
  <r>
    <x v="0"/>
    <x v="42"/>
    <x v="42"/>
    <x v="12"/>
    <x v="12"/>
    <x v="12"/>
    <x v="8"/>
    <x v="278"/>
    <x v="279"/>
    <x v="80"/>
    <x v="351"/>
    <x v="84"/>
    <x v="286"/>
    <x v="1"/>
  </r>
  <r>
    <x v="0"/>
    <x v="42"/>
    <x v="42"/>
    <x v="8"/>
    <x v="8"/>
    <x v="8"/>
    <x v="8"/>
    <x v="278"/>
    <x v="279"/>
    <x v="62"/>
    <x v="309"/>
    <x v="195"/>
    <x v="465"/>
    <x v="1"/>
  </r>
  <r>
    <x v="0"/>
    <x v="42"/>
    <x v="42"/>
    <x v="14"/>
    <x v="14"/>
    <x v="14"/>
    <x v="10"/>
    <x v="234"/>
    <x v="476"/>
    <x v="102"/>
    <x v="522"/>
    <x v="185"/>
    <x v="469"/>
    <x v="1"/>
  </r>
  <r>
    <x v="0"/>
    <x v="42"/>
    <x v="42"/>
    <x v="7"/>
    <x v="7"/>
    <x v="7"/>
    <x v="10"/>
    <x v="234"/>
    <x v="476"/>
    <x v="179"/>
    <x v="521"/>
    <x v="184"/>
    <x v="199"/>
    <x v="1"/>
  </r>
  <r>
    <x v="0"/>
    <x v="42"/>
    <x v="42"/>
    <x v="5"/>
    <x v="5"/>
    <x v="5"/>
    <x v="12"/>
    <x v="294"/>
    <x v="172"/>
    <x v="47"/>
    <x v="523"/>
    <x v="195"/>
    <x v="465"/>
    <x v="1"/>
  </r>
  <r>
    <x v="0"/>
    <x v="42"/>
    <x v="42"/>
    <x v="18"/>
    <x v="18"/>
    <x v="18"/>
    <x v="12"/>
    <x v="294"/>
    <x v="172"/>
    <x v="52"/>
    <x v="524"/>
    <x v="186"/>
    <x v="295"/>
    <x v="4"/>
  </r>
  <r>
    <x v="0"/>
    <x v="42"/>
    <x v="42"/>
    <x v="15"/>
    <x v="15"/>
    <x v="15"/>
    <x v="14"/>
    <x v="255"/>
    <x v="150"/>
    <x v="116"/>
    <x v="151"/>
    <x v="81"/>
    <x v="202"/>
    <x v="1"/>
  </r>
  <r>
    <x v="0"/>
    <x v="42"/>
    <x v="42"/>
    <x v="17"/>
    <x v="17"/>
    <x v="17"/>
    <x v="15"/>
    <x v="258"/>
    <x v="282"/>
    <x v="56"/>
    <x v="63"/>
    <x v="182"/>
    <x v="33"/>
    <x v="1"/>
  </r>
  <r>
    <x v="0"/>
    <x v="42"/>
    <x v="42"/>
    <x v="22"/>
    <x v="22"/>
    <x v="22"/>
    <x v="16"/>
    <x v="259"/>
    <x v="37"/>
    <x v="53"/>
    <x v="337"/>
    <x v="101"/>
    <x v="172"/>
    <x v="1"/>
  </r>
  <r>
    <x v="0"/>
    <x v="42"/>
    <x v="42"/>
    <x v="26"/>
    <x v="26"/>
    <x v="26"/>
    <x v="17"/>
    <x v="260"/>
    <x v="73"/>
    <x v="69"/>
    <x v="166"/>
    <x v="182"/>
    <x v="33"/>
    <x v="1"/>
  </r>
  <r>
    <x v="0"/>
    <x v="42"/>
    <x v="42"/>
    <x v="40"/>
    <x v="40"/>
    <x v="40"/>
    <x v="18"/>
    <x v="302"/>
    <x v="213"/>
    <x v="116"/>
    <x v="151"/>
    <x v="182"/>
    <x v="33"/>
    <x v="1"/>
  </r>
  <r>
    <x v="0"/>
    <x v="42"/>
    <x v="42"/>
    <x v="16"/>
    <x v="16"/>
    <x v="16"/>
    <x v="18"/>
    <x v="302"/>
    <x v="213"/>
    <x v="103"/>
    <x v="525"/>
    <x v="101"/>
    <x v="172"/>
    <x v="1"/>
  </r>
  <r>
    <x v="0"/>
    <x v="43"/>
    <x v="43"/>
    <x v="4"/>
    <x v="4"/>
    <x v="4"/>
    <x v="0"/>
    <x v="74"/>
    <x v="477"/>
    <x v="92"/>
    <x v="526"/>
    <x v="91"/>
    <x v="470"/>
    <x v="1"/>
  </r>
  <r>
    <x v="0"/>
    <x v="43"/>
    <x v="43"/>
    <x v="1"/>
    <x v="1"/>
    <x v="1"/>
    <x v="1"/>
    <x v="241"/>
    <x v="478"/>
    <x v="78"/>
    <x v="527"/>
    <x v="186"/>
    <x v="471"/>
    <x v="1"/>
  </r>
  <r>
    <x v="0"/>
    <x v="43"/>
    <x v="43"/>
    <x v="3"/>
    <x v="3"/>
    <x v="3"/>
    <x v="2"/>
    <x v="233"/>
    <x v="479"/>
    <x v="37"/>
    <x v="75"/>
    <x v="184"/>
    <x v="472"/>
    <x v="1"/>
  </r>
  <r>
    <x v="0"/>
    <x v="43"/>
    <x v="43"/>
    <x v="9"/>
    <x v="9"/>
    <x v="9"/>
    <x v="3"/>
    <x v="242"/>
    <x v="276"/>
    <x v="62"/>
    <x v="501"/>
    <x v="201"/>
    <x v="473"/>
    <x v="1"/>
  </r>
  <r>
    <x v="0"/>
    <x v="43"/>
    <x v="43"/>
    <x v="0"/>
    <x v="0"/>
    <x v="0"/>
    <x v="4"/>
    <x v="294"/>
    <x v="480"/>
    <x v="37"/>
    <x v="75"/>
    <x v="201"/>
    <x v="473"/>
    <x v="1"/>
  </r>
  <r>
    <x v="0"/>
    <x v="43"/>
    <x v="43"/>
    <x v="37"/>
    <x v="37"/>
    <x v="37"/>
    <x v="5"/>
    <x v="256"/>
    <x v="351"/>
    <x v="54"/>
    <x v="57"/>
    <x v="194"/>
    <x v="184"/>
    <x v="1"/>
  </r>
  <r>
    <x v="0"/>
    <x v="43"/>
    <x v="43"/>
    <x v="10"/>
    <x v="10"/>
    <x v="10"/>
    <x v="6"/>
    <x v="257"/>
    <x v="28"/>
    <x v="80"/>
    <x v="528"/>
    <x v="201"/>
    <x v="473"/>
    <x v="1"/>
  </r>
  <r>
    <x v="0"/>
    <x v="43"/>
    <x v="43"/>
    <x v="5"/>
    <x v="5"/>
    <x v="5"/>
    <x v="6"/>
    <x v="257"/>
    <x v="28"/>
    <x v="52"/>
    <x v="378"/>
    <x v="193"/>
    <x v="264"/>
    <x v="1"/>
  </r>
  <r>
    <x v="0"/>
    <x v="43"/>
    <x v="43"/>
    <x v="6"/>
    <x v="6"/>
    <x v="6"/>
    <x v="8"/>
    <x v="258"/>
    <x v="96"/>
    <x v="54"/>
    <x v="57"/>
    <x v="193"/>
    <x v="264"/>
    <x v="1"/>
  </r>
  <r>
    <x v="0"/>
    <x v="43"/>
    <x v="43"/>
    <x v="17"/>
    <x v="17"/>
    <x v="17"/>
    <x v="9"/>
    <x v="259"/>
    <x v="319"/>
    <x v="102"/>
    <x v="162"/>
    <x v="194"/>
    <x v="184"/>
    <x v="1"/>
  </r>
  <r>
    <x v="0"/>
    <x v="43"/>
    <x v="43"/>
    <x v="40"/>
    <x v="40"/>
    <x v="40"/>
    <x v="9"/>
    <x v="259"/>
    <x v="319"/>
    <x v="102"/>
    <x v="162"/>
    <x v="194"/>
    <x v="184"/>
    <x v="1"/>
  </r>
  <r>
    <x v="0"/>
    <x v="43"/>
    <x v="43"/>
    <x v="12"/>
    <x v="12"/>
    <x v="12"/>
    <x v="9"/>
    <x v="259"/>
    <x v="319"/>
    <x v="63"/>
    <x v="529"/>
    <x v="201"/>
    <x v="473"/>
    <x v="1"/>
  </r>
  <r>
    <x v="0"/>
    <x v="43"/>
    <x v="43"/>
    <x v="13"/>
    <x v="13"/>
    <x v="13"/>
    <x v="12"/>
    <x v="260"/>
    <x v="481"/>
    <x v="53"/>
    <x v="530"/>
    <x v="186"/>
    <x v="471"/>
    <x v="1"/>
  </r>
  <r>
    <x v="0"/>
    <x v="43"/>
    <x v="43"/>
    <x v="8"/>
    <x v="8"/>
    <x v="8"/>
    <x v="12"/>
    <x v="260"/>
    <x v="481"/>
    <x v="63"/>
    <x v="529"/>
    <x v="193"/>
    <x v="264"/>
    <x v="1"/>
  </r>
  <r>
    <x v="0"/>
    <x v="43"/>
    <x v="43"/>
    <x v="11"/>
    <x v="11"/>
    <x v="11"/>
    <x v="14"/>
    <x v="302"/>
    <x v="330"/>
    <x v="102"/>
    <x v="162"/>
    <x v="201"/>
    <x v="473"/>
    <x v="1"/>
  </r>
  <r>
    <x v="0"/>
    <x v="43"/>
    <x v="43"/>
    <x v="30"/>
    <x v="30"/>
    <x v="30"/>
    <x v="14"/>
    <x v="302"/>
    <x v="330"/>
    <x v="126"/>
    <x v="531"/>
    <x v="193"/>
    <x v="264"/>
    <x v="1"/>
  </r>
  <r>
    <x v="0"/>
    <x v="43"/>
    <x v="43"/>
    <x v="41"/>
    <x v="41"/>
    <x v="41"/>
    <x v="16"/>
    <x v="303"/>
    <x v="482"/>
    <x v="103"/>
    <x v="532"/>
    <x v="186"/>
    <x v="471"/>
    <x v="1"/>
  </r>
  <r>
    <x v="0"/>
    <x v="43"/>
    <x v="43"/>
    <x v="26"/>
    <x v="26"/>
    <x v="26"/>
    <x v="16"/>
    <x v="303"/>
    <x v="482"/>
    <x v="103"/>
    <x v="532"/>
    <x v="186"/>
    <x v="471"/>
    <x v="1"/>
  </r>
  <r>
    <x v="0"/>
    <x v="43"/>
    <x v="43"/>
    <x v="43"/>
    <x v="43"/>
    <x v="43"/>
    <x v="18"/>
    <x v="304"/>
    <x v="36"/>
    <x v="70"/>
    <x v="533"/>
    <x v="193"/>
    <x v="264"/>
    <x v="1"/>
  </r>
  <r>
    <x v="0"/>
    <x v="43"/>
    <x v="43"/>
    <x v="38"/>
    <x v="38"/>
    <x v="38"/>
    <x v="19"/>
    <x v="305"/>
    <x v="411"/>
    <x v="69"/>
    <x v="534"/>
    <x v="194"/>
    <x v="184"/>
    <x v="1"/>
  </r>
  <r>
    <x v="0"/>
    <x v="43"/>
    <x v="43"/>
    <x v="2"/>
    <x v="2"/>
    <x v="2"/>
    <x v="19"/>
    <x v="305"/>
    <x v="411"/>
    <x v="53"/>
    <x v="530"/>
    <x v="193"/>
    <x v="264"/>
    <x v="1"/>
  </r>
  <r>
    <x v="0"/>
    <x v="43"/>
    <x v="43"/>
    <x v="7"/>
    <x v="7"/>
    <x v="7"/>
    <x v="19"/>
    <x v="305"/>
    <x v="411"/>
    <x v="53"/>
    <x v="530"/>
    <x v="193"/>
    <x v="264"/>
    <x v="1"/>
  </r>
  <r>
    <x v="0"/>
    <x v="44"/>
    <x v="44"/>
    <x v="1"/>
    <x v="1"/>
    <x v="1"/>
    <x v="0"/>
    <x v="89"/>
    <x v="483"/>
    <x v="190"/>
    <x v="535"/>
    <x v="184"/>
    <x v="233"/>
    <x v="1"/>
  </r>
  <r>
    <x v="0"/>
    <x v="44"/>
    <x v="44"/>
    <x v="4"/>
    <x v="4"/>
    <x v="4"/>
    <x v="1"/>
    <x v="73"/>
    <x v="484"/>
    <x v="66"/>
    <x v="536"/>
    <x v="85"/>
    <x v="474"/>
    <x v="1"/>
  </r>
  <r>
    <x v="0"/>
    <x v="44"/>
    <x v="44"/>
    <x v="3"/>
    <x v="3"/>
    <x v="3"/>
    <x v="2"/>
    <x v="228"/>
    <x v="485"/>
    <x v="49"/>
    <x v="8"/>
    <x v="204"/>
    <x v="475"/>
    <x v="1"/>
  </r>
  <r>
    <x v="0"/>
    <x v="44"/>
    <x v="44"/>
    <x v="0"/>
    <x v="0"/>
    <x v="0"/>
    <x v="3"/>
    <x v="240"/>
    <x v="486"/>
    <x v="15"/>
    <x v="537"/>
    <x v="101"/>
    <x v="342"/>
    <x v="1"/>
  </r>
  <r>
    <x v="0"/>
    <x v="44"/>
    <x v="44"/>
    <x v="6"/>
    <x v="6"/>
    <x v="6"/>
    <x v="4"/>
    <x v="229"/>
    <x v="487"/>
    <x v="94"/>
    <x v="538"/>
    <x v="97"/>
    <x v="476"/>
    <x v="1"/>
  </r>
  <r>
    <x v="0"/>
    <x v="44"/>
    <x v="44"/>
    <x v="2"/>
    <x v="2"/>
    <x v="2"/>
    <x v="5"/>
    <x v="114"/>
    <x v="342"/>
    <x v="62"/>
    <x v="539"/>
    <x v="185"/>
    <x v="477"/>
    <x v="1"/>
  </r>
  <r>
    <x v="0"/>
    <x v="44"/>
    <x v="44"/>
    <x v="12"/>
    <x v="12"/>
    <x v="12"/>
    <x v="6"/>
    <x v="293"/>
    <x v="67"/>
    <x v="37"/>
    <x v="21"/>
    <x v="195"/>
    <x v="29"/>
    <x v="1"/>
  </r>
  <r>
    <x v="0"/>
    <x v="44"/>
    <x v="44"/>
    <x v="9"/>
    <x v="9"/>
    <x v="9"/>
    <x v="7"/>
    <x v="254"/>
    <x v="388"/>
    <x v="52"/>
    <x v="540"/>
    <x v="186"/>
    <x v="478"/>
    <x v="1"/>
  </r>
  <r>
    <x v="0"/>
    <x v="44"/>
    <x v="44"/>
    <x v="17"/>
    <x v="17"/>
    <x v="17"/>
    <x v="7"/>
    <x v="254"/>
    <x v="388"/>
    <x v="63"/>
    <x v="541"/>
    <x v="182"/>
    <x v="313"/>
    <x v="1"/>
  </r>
  <r>
    <x v="0"/>
    <x v="44"/>
    <x v="44"/>
    <x v="5"/>
    <x v="5"/>
    <x v="5"/>
    <x v="7"/>
    <x v="254"/>
    <x v="388"/>
    <x v="66"/>
    <x v="536"/>
    <x v="195"/>
    <x v="29"/>
    <x v="1"/>
  </r>
  <r>
    <x v="0"/>
    <x v="44"/>
    <x v="44"/>
    <x v="8"/>
    <x v="8"/>
    <x v="8"/>
    <x v="10"/>
    <x v="295"/>
    <x v="69"/>
    <x v="47"/>
    <x v="77"/>
    <x v="193"/>
    <x v="264"/>
    <x v="1"/>
  </r>
  <r>
    <x v="0"/>
    <x v="44"/>
    <x v="44"/>
    <x v="10"/>
    <x v="10"/>
    <x v="10"/>
    <x v="11"/>
    <x v="255"/>
    <x v="52"/>
    <x v="56"/>
    <x v="370"/>
    <x v="84"/>
    <x v="479"/>
    <x v="1"/>
  </r>
  <r>
    <x v="0"/>
    <x v="44"/>
    <x v="44"/>
    <x v="11"/>
    <x v="11"/>
    <x v="11"/>
    <x v="12"/>
    <x v="257"/>
    <x v="70"/>
    <x v="63"/>
    <x v="541"/>
    <x v="194"/>
    <x v="409"/>
    <x v="1"/>
  </r>
  <r>
    <x v="0"/>
    <x v="44"/>
    <x v="44"/>
    <x v="27"/>
    <x v="27"/>
    <x v="27"/>
    <x v="12"/>
    <x v="257"/>
    <x v="70"/>
    <x v="54"/>
    <x v="542"/>
    <x v="195"/>
    <x v="29"/>
    <x v="1"/>
  </r>
  <r>
    <x v="0"/>
    <x v="44"/>
    <x v="44"/>
    <x v="37"/>
    <x v="37"/>
    <x v="37"/>
    <x v="14"/>
    <x v="259"/>
    <x v="373"/>
    <x v="102"/>
    <x v="436"/>
    <x v="194"/>
    <x v="409"/>
    <x v="1"/>
  </r>
  <r>
    <x v="0"/>
    <x v="44"/>
    <x v="44"/>
    <x v="13"/>
    <x v="13"/>
    <x v="13"/>
    <x v="14"/>
    <x v="259"/>
    <x v="373"/>
    <x v="53"/>
    <x v="124"/>
    <x v="101"/>
    <x v="342"/>
    <x v="1"/>
  </r>
  <r>
    <x v="0"/>
    <x v="44"/>
    <x v="44"/>
    <x v="30"/>
    <x v="30"/>
    <x v="30"/>
    <x v="16"/>
    <x v="260"/>
    <x v="488"/>
    <x v="126"/>
    <x v="84"/>
    <x v="201"/>
    <x v="480"/>
    <x v="1"/>
  </r>
  <r>
    <x v="0"/>
    <x v="44"/>
    <x v="44"/>
    <x v="19"/>
    <x v="19"/>
    <x v="19"/>
    <x v="17"/>
    <x v="302"/>
    <x v="16"/>
    <x v="116"/>
    <x v="151"/>
    <x v="182"/>
    <x v="313"/>
    <x v="1"/>
  </r>
  <r>
    <x v="0"/>
    <x v="44"/>
    <x v="44"/>
    <x v="20"/>
    <x v="20"/>
    <x v="20"/>
    <x v="17"/>
    <x v="302"/>
    <x v="16"/>
    <x v="69"/>
    <x v="70"/>
    <x v="184"/>
    <x v="233"/>
    <x v="1"/>
  </r>
  <r>
    <x v="0"/>
    <x v="44"/>
    <x v="44"/>
    <x v="40"/>
    <x v="40"/>
    <x v="40"/>
    <x v="19"/>
    <x v="303"/>
    <x v="489"/>
    <x v="56"/>
    <x v="370"/>
    <x v="194"/>
    <x v="409"/>
    <x v="1"/>
  </r>
  <r>
    <x v="0"/>
    <x v="44"/>
    <x v="44"/>
    <x v="21"/>
    <x v="21"/>
    <x v="21"/>
    <x v="19"/>
    <x v="303"/>
    <x v="489"/>
    <x v="103"/>
    <x v="235"/>
    <x v="186"/>
    <x v="478"/>
    <x v="1"/>
  </r>
  <r>
    <x v="0"/>
    <x v="44"/>
    <x v="44"/>
    <x v="16"/>
    <x v="16"/>
    <x v="16"/>
    <x v="19"/>
    <x v="303"/>
    <x v="489"/>
    <x v="69"/>
    <x v="70"/>
    <x v="101"/>
    <x v="342"/>
    <x v="1"/>
  </r>
  <r>
    <x v="0"/>
    <x v="44"/>
    <x v="44"/>
    <x v="14"/>
    <x v="14"/>
    <x v="14"/>
    <x v="19"/>
    <x v="303"/>
    <x v="489"/>
    <x v="103"/>
    <x v="235"/>
    <x v="186"/>
    <x v="478"/>
    <x v="1"/>
  </r>
  <r>
    <x v="0"/>
    <x v="44"/>
    <x v="44"/>
    <x v="7"/>
    <x v="7"/>
    <x v="7"/>
    <x v="19"/>
    <x v="303"/>
    <x v="489"/>
    <x v="70"/>
    <x v="543"/>
    <x v="201"/>
    <x v="480"/>
    <x v="1"/>
  </r>
  <r>
    <x v="0"/>
    <x v="44"/>
    <x v="44"/>
    <x v="18"/>
    <x v="18"/>
    <x v="18"/>
    <x v="19"/>
    <x v="303"/>
    <x v="489"/>
    <x v="53"/>
    <x v="124"/>
    <x v="195"/>
    <x v="29"/>
    <x v="1"/>
  </r>
  <r>
    <x v="0"/>
    <x v="45"/>
    <x v="45"/>
    <x v="0"/>
    <x v="0"/>
    <x v="0"/>
    <x v="0"/>
    <x v="251"/>
    <x v="490"/>
    <x v="35"/>
    <x v="544"/>
    <x v="201"/>
    <x v="403"/>
    <x v="4"/>
  </r>
  <r>
    <x v="0"/>
    <x v="45"/>
    <x v="45"/>
    <x v="4"/>
    <x v="4"/>
    <x v="4"/>
    <x v="1"/>
    <x v="252"/>
    <x v="491"/>
    <x v="110"/>
    <x v="545"/>
    <x v="87"/>
    <x v="481"/>
    <x v="1"/>
  </r>
  <r>
    <x v="0"/>
    <x v="45"/>
    <x v="45"/>
    <x v="1"/>
    <x v="1"/>
    <x v="1"/>
    <x v="2"/>
    <x v="114"/>
    <x v="492"/>
    <x v="55"/>
    <x v="546"/>
    <x v="195"/>
    <x v="105"/>
    <x v="1"/>
  </r>
  <r>
    <x v="0"/>
    <x v="45"/>
    <x v="45"/>
    <x v="9"/>
    <x v="9"/>
    <x v="9"/>
    <x v="3"/>
    <x v="241"/>
    <x v="359"/>
    <x v="94"/>
    <x v="547"/>
    <x v="194"/>
    <x v="279"/>
    <x v="1"/>
  </r>
  <r>
    <x v="0"/>
    <x v="45"/>
    <x v="45"/>
    <x v="5"/>
    <x v="5"/>
    <x v="5"/>
    <x v="4"/>
    <x v="233"/>
    <x v="493"/>
    <x v="82"/>
    <x v="421"/>
    <x v="101"/>
    <x v="91"/>
    <x v="1"/>
  </r>
  <r>
    <x v="0"/>
    <x v="45"/>
    <x v="45"/>
    <x v="3"/>
    <x v="3"/>
    <x v="3"/>
    <x v="4"/>
    <x v="233"/>
    <x v="493"/>
    <x v="49"/>
    <x v="75"/>
    <x v="186"/>
    <x v="102"/>
    <x v="1"/>
  </r>
  <r>
    <x v="0"/>
    <x v="45"/>
    <x v="45"/>
    <x v="12"/>
    <x v="12"/>
    <x v="12"/>
    <x v="6"/>
    <x v="254"/>
    <x v="289"/>
    <x v="80"/>
    <x v="548"/>
    <x v="101"/>
    <x v="91"/>
    <x v="1"/>
  </r>
  <r>
    <x v="0"/>
    <x v="45"/>
    <x v="45"/>
    <x v="6"/>
    <x v="6"/>
    <x v="6"/>
    <x v="6"/>
    <x v="254"/>
    <x v="289"/>
    <x v="66"/>
    <x v="549"/>
    <x v="193"/>
    <x v="264"/>
    <x v="1"/>
  </r>
  <r>
    <x v="0"/>
    <x v="45"/>
    <x v="45"/>
    <x v="30"/>
    <x v="30"/>
    <x v="30"/>
    <x v="6"/>
    <x v="254"/>
    <x v="289"/>
    <x v="66"/>
    <x v="549"/>
    <x v="195"/>
    <x v="105"/>
    <x v="1"/>
  </r>
  <r>
    <x v="0"/>
    <x v="45"/>
    <x v="45"/>
    <x v="10"/>
    <x v="10"/>
    <x v="10"/>
    <x v="9"/>
    <x v="255"/>
    <x v="494"/>
    <x v="54"/>
    <x v="78"/>
    <x v="186"/>
    <x v="102"/>
    <x v="1"/>
  </r>
  <r>
    <x v="0"/>
    <x v="45"/>
    <x v="45"/>
    <x v="11"/>
    <x v="11"/>
    <x v="11"/>
    <x v="10"/>
    <x v="257"/>
    <x v="495"/>
    <x v="80"/>
    <x v="548"/>
    <x v="201"/>
    <x v="403"/>
    <x v="1"/>
  </r>
  <r>
    <x v="0"/>
    <x v="45"/>
    <x v="45"/>
    <x v="13"/>
    <x v="13"/>
    <x v="13"/>
    <x v="11"/>
    <x v="260"/>
    <x v="345"/>
    <x v="70"/>
    <x v="436"/>
    <x v="194"/>
    <x v="279"/>
    <x v="1"/>
  </r>
  <r>
    <x v="0"/>
    <x v="45"/>
    <x v="45"/>
    <x v="2"/>
    <x v="2"/>
    <x v="2"/>
    <x v="12"/>
    <x v="302"/>
    <x v="34"/>
    <x v="70"/>
    <x v="436"/>
    <x v="195"/>
    <x v="105"/>
    <x v="1"/>
  </r>
  <r>
    <x v="0"/>
    <x v="45"/>
    <x v="45"/>
    <x v="8"/>
    <x v="8"/>
    <x v="8"/>
    <x v="12"/>
    <x v="302"/>
    <x v="34"/>
    <x v="53"/>
    <x v="48"/>
    <x v="194"/>
    <x v="279"/>
    <x v="1"/>
  </r>
  <r>
    <x v="0"/>
    <x v="45"/>
    <x v="45"/>
    <x v="38"/>
    <x v="38"/>
    <x v="38"/>
    <x v="14"/>
    <x v="304"/>
    <x v="88"/>
    <x v="56"/>
    <x v="372"/>
    <x v="195"/>
    <x v="105"/>
    <x v="1"/>
  </r>
  <r>
    <x v="0"/>
    <x v="45"/>
    <x v="45"/>
    <x v="36"/>
    <x v="36"/>
    <x v="36"/>
    <x v="15"/>
    <x v="305"/>
    <x v="225"/>
    <x v="69"/>
    <x v="165"/>
    <x v="194"/>
    <x v="279"/>
    <x v="1"/>
  </r>
  <r>
    <x v="0"/>
    <x v="45"/>
    <x v="45"/>
    <x v="43"/>
    <x v="43"/>
    <x v="43"/>
    <x v="15"/>
    <x v="305"/>
    <x v="225"/>
    <x v="53"/>
    <x v="48"/>
    <x v="193"/>
    <x v="264"/>
    <x v="1"/>
  </r>
  <r>
    <x v="0"/>
    <x v="45"/>
    <x v="45"/>
    <x v="17"/>
    <x v="17"/>
    <x v="17"/>
    <x v="15"/>
    <x v="305"/>
    <x v="225"/>
    <x v="53"/>
    <x v="48"/>
    <x v="193"/>
    <x v="264"/>
    <x v="1"/>
  </r>
  <r>
    <x v="0"/>
    <x v="45"/>
    <x v="45"/>
    <x v="19"/>
    <x v="19"/>
    <x v="19"/>
    <x v="15"/>
    <x v="305"/>
    <x v="225"/>
    <x v="69"/>
    <x v="165"/>
    <x v="194"/>
    <x v="279"/>
    <x v="1"/>
  </r>
  <r>
    <x v="0"/>
    <x v="45"/>
    <x v="45"/>
    <x v="18"/>
    <x v="18"/>
    <x v="18"/>
    <x v="15"/>
    <x v="305"/>
    <x v="225"/>
    <x v="53"/>
    <x v="48"/>
    <x v="193"/>
    <x v="264"/>
    <x v="1"/>
  </r>
  <r>
    <x v="0"/>
    <x v="45"/>
    <x v="45"/>
    <x v="15"/>
    <x v="15"/>
    <x v="15"/>
    <x v="15"/>
    <x v="305"/>
    <x v="225"/>
    <x v="116"/>
    <x v="151"/>
    <x v="194"/>
    <x v="279"/>
    <x v="1"/>
  </r>
  <r>
    <x v="0"/>
    <x v="45"/>
    <x v="45"/>
    <x v="20"/>
    <x v="20"/>
    <x v="20"/>
    <x v="15"/>
    <x v="305"/>
    <x v="225"/>
    <x v="116"/>
    <x v="151"/>
    <x v="194"/>
    <x v="279"/>
    <x v="4"/>
  </r>
  <r>
    <x v="0"/>
    <x v="46"/>
    <x v="46"/>
    <x v="1"/>
    <x v="1"/>
    <x v="1"/>
    <x v="0"/>
    <x v="284"/>
    <x v="346"/>
    <x v="44"/>
    <x v="550"/>
    <x v="181"/>
    <x v="170"/>
    <x v="1"/>
  </r>
  <r>
    <x v="0"/>
    <x v="46"/>
    <x v="46"/>
    <x v="0"/>
    <x v="0"/>
    <x v="0"/>
    <x v="1"/>
    <x v="137"/>
    <x v="140"/>
    <x v="178"/>
    <x v="551"/>
    <x v="182"/>
    <x v="199"/>
    <x v="1"/>
  </r>
  <r>
    <x v="0"/>
    <x v="46"/>
    <x v="46"/>
    <x v="6"/>
    <x v="6"/>
    <x v="6"/>
    <x v="2"/>
    <x v="56"/>
    <x v="496"/>
    <x v="127"/>
    <x v="552"/>
    <x v="184"/>
    <x v="223"/>
    <x v="1"/>
  </r>
  <r>
    <x v="0"/>
    <x v="46"/>
    <x v="46"/>
    <x v="4"/>
    <x v="4"/>
    <x v="4"/>
    <x v="3"/>
    <x v="70"/>
    <x v="497"/>
    <x v="82"/>
    <x v="553"/>
    <x v="72"/>
    <x v="482"/>
    <x v="1"/>
  </r>
  <r>
    <x v="0"/>
    <x v="46"/>
    <x v="46"/>
    <x v="2"/>
    <x v="2"/>
    <x v="2"/>
    <x v="4"/>
    <x v="103"/>
    <x v="297"/>
    <x v="164"/>
    <x v="554"/>
    <x v="110"/>
    <x v="483"/>
    <x v="1"/>
  </r>
  <r>
    <x v="0"/>
    <x v="46"/>
    <x v="46"/>
    <x v="10"/>
    <x v="10"/>
    <x v="10"/>
    <x v="5"/>
    <x v="112"/>
    <x v="3"/>
    <x v="92"/>
    <x v="555"/>
    <x v="46"/>
    <x v="484"/>
    <x v="1"/>
  </r>
  <r>
    <x v="0"/>
    <x v="46"/>
    <x v="46"/>
    <x v="9"/>
    <x v="9"/>
    <x v="9"/>
    <x v="6"/>
    <x v="267"/>
    <x v="498"/>
    <x v="133"/>
    <x v="549"/>
    <x v="183"/>
    <x v="485"/>
    <x v="1"/>
  </r>
  <r>
    <x v="0"/>
    <x v="46"/>
    <x v="46"/>
    <x v="3"/>
    <x v="3"/>
    <x v="3"/>
    <x v="7"/>
    <x v="141"/>
    <x v="499"/>
    <x v="78"/>
    <x v="536"/>
    <x v="183"/>
    <x v="485"/>
    <x v="1"/>
  </r>
  <r>
    <x v="0"/>
    <x v="46"/>
    <x v="46"/>
    <x v="12"/>
    <x v="12"/>
    <x v="12"/>
    <x v="8"/>
    <x v="116"/>
    <x v="222"/>
    <x v="94"/>
    <x v="556"/>
    <x v="184"/>
    <x v="223"/>
    <x v="1"/>
  </r>
  <r>
    <x v="0"/>
    <x v="46"/>
    <x v="46"/>
    <x v="5"/>
    <x v="5"/>
    <x v="5"/>
    <x v="9"/>
    <x v="241"/>
    <x v="116"/>
    <x v="49"/>
    <x v="557"/>
    <x v="182"/>
    <x v="199"/>
    <x v="1"/>
  </r>
  <r>
    <x v="0"/>
    <x v="46"/>
    <x v="46"/>
    <x v="7"/>
    <x v="7"/>
    <x v="7"/>
    <x v="10"/>
    <x v="231"/>
    <x v="245"/>
    <x v="62"/>
    <x v="558"/>
    <x v="101"/>
    <x v="416"/>
    <x v="1"/>
  </r>
  <r>
    <x v="0"/>
    <x v="46"/>
    <x v="46"/>
    <x v="8"/>
    <x v="8"/>
    <x v="8"/>
    <x v="10"/>
    <x v="231"/>
    <x v="245"/>
    <x v="78"/>
    <x v="536"/>
    <x v="194"/>
    <x v="345"/>
    <x v="1"/>
  </r>
  <r>
    <x v="0"/>
    <x v="46"/>
    <x v="46"/>
    <x v="11"/>
    <x v="11"/>
    <x v="11"/>
    <x v="12"/>
    <x v="293"/>
    <x v="500"/>
    <x v="179"/>
    <x v="559"/>
    <x v="101"/>
    <x v="416"/>
    <x v="1"/>
  </r>
  <r>
    <x v="0"/>
    <x v="46"/>
    <x v="46"/>
    <x v="14"/>
    <x v="14"/>
    <x v="14"/>
    <x v="13"/>
    <x v="257"/>
    <x v="292"/>
    <x v="103"/>
    <x v="264"/>
    <x v="181"/>
    <x v="170"/>
    <x v="1"/>
  </r>
  <r>
    <x v="0"/>
    <x v="46"/>
    <x v="46"/>
    <x v="15"/>
    <x v="15"/>
    <x v="15"/>
    <x v="13"/>
    <x v="257"/>
    <x v="292"/>
    <x v="116"/>
    <x v="151"/>
    <x v="181"/>
    <x v="170"/>
    <x v="1"/>
  </r>
  <r>
    <x v="0"/>
    <x v="46"/>
    <x v="46"/>
    <x v="30"/>
    <x v="30"/>
    <x v="30"/>
    <x v="15"/>
    <x v="258"/>
    <x v="18"/>
    <x v="126"/>
    <x v="145"/>
    <x v="194"/>
    <x v="345"/>
    <x v="1"/>
  </r>
  <r>
    <x v="0"/>
    <x v="46"/>
    <x v="46"/>
    <x v="35"/>
    <x v="35"/>
    <x v="35"/>
    <x v="16"/>
    <x v="259"/>
    <x v="135"/>
    <x v="56"/>
    <x v="560"/>
    <x v="184"/>
    <x v="223"/>
    <x v="1"/>
  </r>
  <r>
    <x v="0"/>
    <x v="46"/>
    <x v="46"/>
    <x v="13"/>
    <x v="13"/>
    <x v="13"/>
    <x v="16"/>
    <x v="259"/>
    <x v="135"/>
    <x v="53"/>
    <x v="266"/>
    <x v="101"/>
    <x v="416"/>
    <x v="1"/>
  </r>
  <r>
    <x v="0"/>
    <x v="46"/>
    <x v="46"/>
    <x v="18"/>
    <x v="18"/>
    <x v="18"/>
    <x v="16"/>
    <x v="259"/>
    <x v="135"/>
    <x v="53"/>
    <x v="266"/>
    <x v="186"/>
    <x v="285"/>
    <x v="1"/>
  </r>
  <r>
    <x v="0"/>
    <x v="46"/>
    <x v="46"/>
    <x v="25"/>
    <x v="25"/>
    <x v="25"/>
    <x v="19"/>
    <x v="260"/>
    <x v="501"/>
    <x v="70"/>
    <x v="26"/>
    <x v="194"/>
    <x v="345"/>
    <x v="1"/>
  </r>
  <r>
    <x v="0"/>
    <x v="46"/>
    <x v="46"/>
    <x v="17"/>
    <x v="17"/>
    <x v="17"/>
    <x v="19"/>
    <x v="260"/>
    <x v="501"/>
    <x v="103"/>
    <x v="264"/>
    <x v="184"/>
    <x v="223"/>
    <x v="1"/>
  </r>
  <r>
    <x v="0"/>
    <x v="47"/>
    <x v="47"/>
    <x v="3"/>
    <x v="3"/>
    <x v="3"/>
    <x v="0"/>
    <x v="253"/>
    <x v="502"/>
    <x v="174"/>
    <x v="561"/>
    <x v="182"/>
    <x v="486"/>
    <x v="1"/>
  </r>
  <r>
    <x v="0"/>
    <x v="47"/>
    <x v="47"/>
    <x v="1"/>
    <x v="1"/>
    <x v="1"/>
    <x v="1"/>
    <x v="113"/>
    <x v="357"/>
    <x v="15"/>
    <x v="562"/>
    <x v="194"/>
    <x v="56"/>
    <x v="1"/>
  </r>
  <r>
    <x v="0"/>
    <x v="47"/>
    <x v="47"/>
    <x v="4"/>
    <x v="4"/>
    <x v="4"/>
    <x v="2"/>
    <x v="125"/>
    <x v="334"/>
    <x v="37"/>
    <x v="563"/>
    <x v="91"/>
    <x v="487"/>
    <x v="1"/>
  </r>
  <r>
    <x v="0"/>
    <x v="47"/>
    <x v="47"/>
    <x v="2"/>
    <x v="2"/>
    <x v="2"/>
    <x v="3"/>
    <x v="287"/>
    <x v="503"/>
    <x v="75"/>
    <x v="295"/>
    <x v="194"/>
    <x v="56"/>
    <x v="1"/>
  </r>
  <r>
    <x v="0"/>
    <x v="47"/>
    <x v="47"/>
    <x v="6"/>
    <x v="6"/>
    <x v="6"/>
    <x v="4"/>
    <x v="116"/>
    <x v="504"/>
    <x v="37"/>
    <x v="563"/>
    <x v="201"/>
    <x v="453"/>
    <x v="1"/>
  </r>
  <r>
    <x v="0"/>
    <x v="47"/>
    <x v="47"/>
    <x v="0"/>
    <x v="0"/>
    <x v="0"/>
    <x v="5"/>
    <x v="126"/>
    <x v="414"/>
    <x v="75"/>
    <x v="295"/>
    <x v="193"/>
    <x v="264"/>
    <x v="1"/>
  </r>
  <r>
    <x v="0"/>
    <x v="47"/>
    <x v="47"/>
    <x v="10"/>
    <x v="10"/>
    <x v="10"/>
    <x v="6"/>
    <x v="242"/>
    <x v="278"/>
    <x v="52"/>
    <x v="564"/>
    <x v="97"/>
    <x v="252"/>
    <x v="1"/>
  </r>
  <r>
    <x v="0"/>
    <x v="47"/>
    <x v="47"/>
    <x v="5"/>
    <x v="5"/>
    <x v="5"/>
    <x v="6"/>
    <x v="242"/>
    <x v="278"/>
    <x v="47"/>
    <x v="565"/>
    <x v="186"/>
    <x v="454"/>
    <x v="4"/>
  </r>
  <r>
    <x v="0"/>
    <x v="47"/>
    <x v="47"/>
    <x v="9"/>
    <x v="9"/>
    <x v="9"/>
    <x v="8"/>
    <x v="255"/>
    <x v="7"/>
    <x v="126"/>
    <x v="64"/>
    <x v="184"/>
    <x v="164"/>
    <x v="1"/>
  </r>
  <r>
    <x v="0"/>
    <x v="47"/>
    <x v="47"/>
    <x v="12"/>
    <x v="12"/>
    <x v="12"/>
    <x v="8"/>
    <x v="255"/>
    <x v="7"/>
    <x v="102"/>
    <x v="324"/>
    <x v="182"/>
    <x v="486"/>
    <x v="1"/>
  </r>
  <r>
    <x v="0"/>
    <x v="47"/>
    <x v="47"/>
    <x v="18"/>
    <x v="18"/>
    <x v="18"/>
    <x v="10"/>
    <x v="256"/>
    <x v="476"/>
    <x v="54"/>
    <x v="444"/>
    <x v="194"/>
    <x v="56"/>
    <x v="1"/>
  </r>
  <r>
    <x v="0"/>
    <x v="47"/>
    <x v="47"/>
    <x v="13"/>
    <x v="13"/>
    <x v="13"/>
    <x v="11"/>
    <x v="257"/>
    <x v="505"/>
    <x v="70"/>
    <x v="101"/>
    <x v="184"/>
    <x v="164"/>
    <x v="1"/>
  </r>
  <r>
    <x v="0"/>
    <x v="47"/>
    <x v="47"/>
    <x v="8"/>
    <x v="8"/>
    <x v="8"/>
    <x v="11"/>
    <x v="257"/>
    <x v="505"/>
    <x v="52"/>
    <x v="564"/>
    <x v="193"/>
    <x v="264"/>
    <x v="1"/>
  </r>
  <r>
    <x v="0"/>
    <x v="47"/>
    <x v="47"/>
    <x v="15"/>
    <x v="15"/>
    <x v="15"/>
    <x v="13"/>
    <x v="260"/>
    <x v="506"/>
    <x v="116"/>
    <x v="151"/>
    <x v="182"/>
    <x v="486"/>
    <x v="1"/>
  </r>
  <r>
    <x v="0"/>
    <x v="47"/>
    <x v="47"/>
    <x v="22"/>
    <x v="22"/>
    <x v="22"/>
    <x v="14"/>
    <x v="302"/>
    <x v="85"/>
    <x v="116"/>
    <x v="151"/>
    <x v="182"/>
    <x v="486"/>
    <x v="1"/>
  </r>
  <r>
    <x v="0"/>
    <x v="47"/>
    <x v="47"/>
    <x v="11"/>
    <x v="11"/>
    <x v="11"/>
    <x v="14"/>
    <x v="302"/>
    <x v="85"/>
    <x v="70"/>
    <x v="101"/>
    <x v="195"/>
    <x v="66"/>
    <x v="1"/>
  </r>
  <r>
    <x v="0"/>
    <x v="47"/>
    <x v="47"/>
    <x v="14"/>
    <x v="14"/>
    <x v="14"/>
    <x v="16"/>
    <x v="303"/>
    <x v="86"/>
    <x v="56"/>
    <x v="31"/>
    <x v="194"/>
    <x v="56"/>
    <x v="1"/>
  </r>
  <r>
    <x v="0"/>
    <x v="47"/>
    <x v="47"/>
    <x v="43"/>
    <x v="43"/>
    <x v="43"/>
    <x v="17"/>
    <x v="305"/>
    <x v="501"/>
    <x v="56"/>
    <x v="31"/>
    <x v="201"/>
    <x v="453"/>
    <x v="1"/>
  </r>
  <r>
    <x v="0"/>
    <x v="47"/>
    <x v="47"/>
    <x v="21"/>
    <x v="21"/>
    <x v="21"/>
    <x v="17"/>
    <x v="305"/>
    <x v="501"/>
    <x v="103"/>
    <x v="238"/>
    <x v="195"/>
    <x v="66"/>
    <x v="1"/>
  </r>
  <r>
    <x v="0"/>
    <x v="47"/>
    <x v="47"/>
    <x v="16"/>
    <x v="16"/>
    <x v="16"/>
    <x v="17"/>
    <x v="305"/>
    <x v="501"/>
    <x v="69"/>
    <x v="165"/>
    <x v="194"/>
    <x v="56"/>
    <x v="1"/>
  </r>
  <r>
    <x v="0"/>
    <x v="47"/>
    <x v="47"/>
    <x v="7"/>
    <x v="7"/>
    <x v="7"/>
    <x v="17"/>
    <x v="305"/>
    <x v="501"/>
    <x v="53"/>
    <x v="148"/>
    <x v="193"/>
    <x v="264"/>
    <x v="1"/>
  </r>
  <r>
    <x v="0"/>
    <x v="48"/>
    <x v="48"/>
    <x v="4"/>
    <x v="4"/>
    <x v="4"/>
    <x v="0"/>
    <x v="87"/>
    <x v="507"/>
    <x v="174"/>
    <x v="259"/>
    <x v="66"/>
    <x v="488"/>
    <x v="1"/>
  </r>
  <r>
    <x v="0"/>
    <x v="48"/>
    <x v="48"/>
    <x v="1"/>
    <x v="1"/>
    <x v="1"/>
    <x v="1"/>
    <x v="139"/>
    <x v="508"/>
    <x v="65"/>
    <x v="566"/>
    <x v="201"/>
    <x v="489"/>
    <x v="1"/>
  </r>
  <r>
    <x v="0"/>
    <x v="48"/>
    <x v="48"/>
    <x v="0"/>
    <x v="0"/>
    <x v="0"/>
    <x v="2"/>
    <x v="71"/>
    <x v="509"/>
    <x v="79"/>
    <x v="567"/>
    <x v="193"/>
    <x v="264"/>
    <x v="1"/>
  </r>
  <r>
    <x v="0"/>
    <x v="48"/>
    <x v="48"/>
    <x v="5"/>
    <x v="5"/>
    <x v="5"/>
    <x v="3"/>
    <x v="267"/>
    <x v="510"/>
    <x v="171"/>
    <x v="568"/>
    <x v="101"/>
    <x v="277"/>
    <x v="1"/>
  </r>
  <r>
    <x v="0"/>
    <x v="48"/>
    <x v="48"/>
    <x v="3"/>
    <x v="3"/>
    <x v="3"/>
    <x v="4"/>
    <x v="240"/>
    <x v="341"/>
    <x v="110"/>
    <x v="569"/>
    <x v="188"/>
    <x v="490"/>
    <x v="1"/>
  </r>
  <r>
    <x v="0"/>
    <x v="48"/>
    <x v="48"/>
    <x v="9"/>
    <x v="9"/>
    <x v="9"/>
    <x v="5"/>
    <x v="115"/>
    <x v="386"/>
    <x v="68"/>
    <x v="570"/>
    <x v="101"/>
    <x v="277"/>
    <x v="1"/>
  </r>
  <r>
    <x v="0"/>
    <x v="48"/>
    <x v="48"/>
    <x v="12"/>
    <x v="12"/>
    <x v="12"/>
    <x v="6"/>
    <x v="116"/>
    <x v="328"/>
    <x v="94"/>
    <x v="142"/>
    <x v="184"/>
    <x v="380"/>
    <x v="1"/>
  </r>
  <r>
    <x v="0"/>
    <x v="48"/>
    <x v="48"/>
    <x v="10"/>
    <x v="10"/>
    <x v="10"/>
    <x v="7"/>
    <x v="230"/>
    <x v="300"/>
    <x v="49"/>
    <x v="320"/>
    <x v="97"/>
    <x v="137"/>
    <x v="1"/>
  </r>
  <r>
    <x v="0"/>
    <x v="48"/>
    <x v="48"/>
    <x v="35"/>
    <x v="35"/>
    <x v="35"/>
    <x v="8"/>
    <x v="293"/>
    <x v="258"/>
    <x v="80"/>
    <x v="418"/>
    <x v="182"/>
    <x v="491"/>
    <x v="1"/>
  </r>
  <r>
    <x v="0"/>
    <x v="48"/>
    <x v="48"/>
    <x v="13"/>
    <x v="13"/>
    <x v="13"/>
    <x v="9"/>
    <x v="294"/>
    <x v="132"/>
    <x v="63"/>
    <x v="292"/>
    <x v="97"/>
    <x v="137"/>
    <x v="1"/>
  </r>
  <r>
    <x v="0"/>
    <x v="48"/>
    <x v="48"/>
    <x v="6"/>
    <x v="6"/>
    <x v="6"/>
    <x v="10"/>
    <x v="254"/>
    <x v="83"/>
    <x v="52"/>
    <x v="571"/>
    <x v="194"/>
    <x v="492"/>
    <x v="1"/>
  </r>
  <r>
    <x v="0"/>
    <x v="48"/>
    <x v="48"/>
    <x v="30"/>
    <x v="30"/>
    <x v="30"/>
    <x v="10"/>
    <x v="254"/>
    <x v="83"/>
    <x v="66"/>
    <x v="129"/>
    <x v="195"/>
    <x v="126"/>
    <x v="1"/>
  </r>
  <r>
    <x v="0"/>
    <x v="48"/>
    <x v="48"/>
    <x v="15"/>
    <x v="15"/>
    <x v="15"/>
    <x v="12"/>
    <x v="295"/>
    <x v="31"/>
    <x v="116"/>
    <x v="151"/>
    <x v="81"/>
    <x v="364"/>
    <x v="1"/>
  </r>
  <r>
    <x v="0"/>
    <x v="48"/>
    <x v="48"/>
    <x v="11"/>
    <x v="11"/>
    <x v="11"/>
    <x v="13"/>
    <x v="256"/>
    <x v="161"/>
    <x v="63"/>
    <x v="292"/>
    <x v="186"/>
    <x v="181"/>
    <x v="1"/>
  </r>
  <r>
    <x v="0"/>
    <x v="48"/>
    <x v="48"/>
    <x v="27"/>
    <x v="27"/>
    <x v="27"/>
    <x v="14"/>
    <x v="258"/>
    <x v="107"/>
    <x v="63"/>
    <x v="292"/>
    <x v="195"/>
    <x v="126"/>
    <x v="1"/>
  </r>
  <r>
    <x v="0"/>
    <x v="48"/>
    <x v="48"/>
    <x v="2"/>
    <x v="2"/>
    <x v="2"/>
    <x v="14"/>
    <x v="258"/>
    <x v="107"/>
    <x v="56"/>
    <x v="152"/>
    <x v="182"/>
    <x v="491"/>
    <x v="1"/>
  </r>
  <r>
    <x v="0"/>
    <x v="48"/>
    <x v="48"/>
    <x v="16"/>
    <x v="16"/>
    <x v="16"/>
    <x v="16"/>
    <x v="259"/>
    <x v="488"/>
    <x v="102"/>
    <x v="145"/>
    <x v="194"/>
    <x v="492"/>
    <x v="1"/>
  </r>
  <r>
    <x v="0"/>
    <x v="48"/>
    <x v="48"/>
    <x v="8"/>
    <x v="8"/>
    <x v="8"/>
    <x v="16"/>
    <x v="259"/>
    <x v="488"/>
    <x v="63"/>
    <x v="292"/>
    <x v="201"/>
    <x v="489"/>
    <x v="1"/>
  </r>
  <r>
    <x v="0"/>
    <x v="48"/>
    <x v="48"/>
    <x v="28"/>
    <x v="28"/>
    <x v="28"/>
    <x v="18"/>
    <x v="260"/>
    <x v="271"/>
    <x v="102"/>
    <x v="145"/>
    <x v="195"/>
    <x v="126"/>
    <x v="1"/>
  </r>
  <r>
    <x v="0"/>
    <x v="48"/>
    <x v="48"/>
    <x v="7"/>
    <x v="7"/>
    <x v="7"/>
    <x v="18"/>
    <x v="260"/>
    <x v="271"/>
    <x v="126"/>
    <x v="144"/>
    <x v="201"/>
    <x v="489"/>
    <x v="1"/>
  </r>
  <r>
    <x v="0"/>
    <x v="48"/>
    <x v="48"/>
    <x v="31"/>
    <x v="31"/>
    <x v="31"/>
    <x v="18"/>
    <x v="260"/>
    <x v="271"/>
    <x v="63"/>
    <x v="292"/>
    <x v="193"/>
    <x v="264"/>
    <x v="1"/>
  </r>
  <r>
    <x v="0"/>
    <x v="49"/>
    <x v="49"/>
    <x v="31"/>
    <x v="31"/>
    <x v="31"/>
    <x v="0"/>
    <x v="306"/>
    <x v="511"/>
    <x v="222"/>
    <x v="572"/>
    <x v="181"/>
    <x v="493"/>
    <x v="1"/>
  </r>
  <r>
    <x v="0"/>
    <x v="49"/>
    <x v="49"/>
    <x v="5"/>
    <x v="5"/>
    <x v="5"/>
    <x v="1"/>
    <x v="138"/>
    <x v="512"/>
    <x v="127"/>
    <x v="573"/>
    <x v="185"/>
    <x v="494"/>
    <x v="1"/>
  </r>
  <r>
    <x v="0"/>
    <x v="49"/>
    <x v="49"/>
    <x v="3"/>
    <x v="3"/>
    <x v="3"/>
    <x v="2"/>
    <x v="70"/>
    <x v="513"/>
    <x v="205"/>
    <x v="574"/>
    <x v="180"/>
    <x v="495"/>
    <x v="1"/>
  </r>
  <r>
    <x v="0"/>
    <x v="49"/>
    <x v="49"/>
    <x v="4"/>
    <x v="4"/>
    <x v="4"/>
    <x v="3"/>
    <x v="89"/>
    <x v="514"/>
    <x v="171"/>
    <x v="127"/>
    <x v="183"/>
    <x v="496"/>
    <x v="1"/>
  </r>
  <r>
    <x v="0"/>
    <x v="49"/>
    <x v="49"/>
    <x v="1"/>
    <x v="1"/>
    <x v="1"/>
    <x v="4"/>
    <x v="139"/>
    <x v="515"/>
    <x v="198"/>
    <x v="432"/>
    <x v="195"/>
    <x v="395"/>
    <x v="1"/>
  </r>
  <r>
    <x v="0"/>
    <x v="49"/>
    <x v="49"/>
    <x v="35"/>
    <x v="35"/>
    <x v="35"/>
    <x v="5"/>
    <x v="277"/>
    <x v="516"/>
    <x v="78"/>
    <x v="575"/>
    <x v="67"/>
    <x v="497"/>
    <x v="4"/>
  </r>
  <r>
    <x v="0"/>
    <x v="49"/>
    <x v="49"/>
    <x v="0"/>
    <x v="0"/>
    <x v="0"/>
    <x v="6"/>
    <x v="140"/>
    <x v="517"/>
    <x v="64"/>
    <x v="576"/>
    <x v="195"/>
    <x v="395"/>
    <x v="1"/>
  </r>
  <r>
    <x v="0"/>
    <x v="49"/>
    <x v="49"/>
    <x v="6"/>
    <x v="6"/>
    <x v="6"/>
    <x v="7"/>
    <x v="74"/>
    <x v="518"/>
    <x v="68"/>
    <x v="577"/>
    <x v="201"/>
    <x v="84"/>
    <x v="4"/>
  </r>
  <r>
    <x v="0"/>
    <x v="49"/>
    <x v="49"/>
    <x v="9"/>
    <x v="9"/>
    <x v="9"/>
    <x v="8"/>
    <x v="240"/>
    <x v="519"/>
    <x v="100"/>
    <x v="578"/>
    <x v="195"/>
    <x v="395"/>
    <x v="1"/>
  </r>
  <r>
    <x v="0"/>
    <x v="49"/>
    <x v="49"/>
    <x v="10"/>
    <x v="10"/>
    <x v="10"/>
    <x v="9"/>
    <x v="230"/>
    <x v="48"/>
    <x v="68"/>
    <x v="577"/>
    <x v="195"/>
    <x v="395"/>
    <x v="1"/>
  </r>
  <r>
    <x v="0"/>
    <x v="49"/>
    <x v="49"/>
    <x v="12"/>
    <x v="12"/>
    <x v="12"/>
    <x v="10"/>
    <x v="241"/>
    <x v="302"/>
    <x v="49"/>
    <x v="579"/>
    <x v="182"/>
    <x v="81"/>
    <x v="1"/>
  </r>
  <r>
    <x v="0"/>
    <x v="49"/>
    <x v="49"/>
    <x v="15"/>
    <x v="15"/>
    <x v="15"/>
    <x v="11"/>
    <x v="233"/>
    <x v="303"/>
    <x v="116"/>
    <x v="151"/>
    <x v="184"/>
    <x v="83"/>
    <x v="1"/>
  </r>
  <r>
    <x v="0"/>
    <x v="49"/>
    <x v="49"/>
    <x v="8"/>
    <x v="8"/>
    <x v="8"/>
    <x v="12"/>
    <x v="293"/>
    <x v="345"/>
    <x v="49"/>
    <x v="579"/>
    <x v="193"/>
    <x v="264"/>
    <x v="1"/>
  </r>
  <r>
    <x v="0"/>
    <x v="49"/>
    <x v="49"/>
    <x v="11"/>
    <x v="11"/>
    <x v="11"/>
    <x v="13"/>
    <x v="294"/>
    <x v="520"/>
    <x v="37"/>
    <x v="321"/>
    <x v="201"/>
    <x v="84"/>
    <x v="1"/>
  </r>
  <r>
    <x v="0"/>
    <x v="49"/>
    <x v="49"/>
    <x v="2"/>
    <x v="2"/>
    <x v="2"/>
    <x v="14"/>
    <x v="255"/>
    <x v="373"/>
    <x v="56"/>
    <x v="580"/>
    <x v="181"/>
    <x v="493"/>
    <x v="4"/>
  </r>
  <r>
    <x v="0"/>
    <x v="49"/>
    <x v="49"/>
    <x v="13"/>
    <x v="13"/>
    <x v="13"/>
    <x v="14"/>
    <x v="255"/>
    <x v="373"/>
    <x v="179"/>
    <x v="581"/>
    <x v="193"/>
    <x v="264"/>
    <x v="1"/>
  </r>
  <r>
    <x v="0"/>
    <x v="49"/>
    <x v="49"/>
    <x v="21"/>
    <x v="21"/>
    <x v="21"/>
    <x v="16"/>
    <x v="258"/>
    <x v="17"/>
    <x v="126"/>
    <x v="582"/>
    <x v="194"/>
    <x v="78"/>
    <x v="1"/>
  </r>
  <r>
    <x v="0"/>
    <x v="49"/>
    <x v="49"/>
    <x v="7"/>
    <x v="7"/>
    <x v="7"/>
    <x v="17"/>
    <x v="302"/>
    <x v="521"/>
    <x v="70"/>
    <x v="30"/>
    <x v="195"/>
    <x v="395"/>
    <x v="1"/>
  </r>
  <r>
    <x v="0"/>
    <x v="49"/>
    <x v="49"/>
    <x v="32"/>
    <x v="32"/>
    <x v="32"/>
    <x v="18"/>
    <x v="303"/>
    <x v="522"/>
    <x v="103"/>
    <x v="194"/>
    <x v="201"/>
    <x v="84"/>
    <x v="4"/>
  </r>
  <r>
    <x v="0"/>
    <x v="49"/>
    <x v="49"/>
    <x v="30"/>
    <x v="30"/>
    <x v="30"/>
    <x v="18"/>
    <x v="303"/>
    <x v="522"/>
    <x v="70"/>
    <x v="30"/>
    <x v="201"/>
    <x v="84"/>
    <x v="1"/>
  </r>
  <r>
    <x v="0"/>
    <x v="50"/>
    <x v="50"/>
    <x v="0"/>
    <x v="0"/>
    <x v="0"/>
    <x v="0"/>
    <x v="112"/>
    <x v="523"/>
    <x v="35"/>
    <x v="583"/>
    <x v="194"/>
    <x v="290"/>
    <x v="1"/>
  </r>
  <r>
    <x v="0"/>
    <x v="50"/>
    <x v="50"/>
    <x v="4"/>
    <x v="4"/>
    <x v="4"/>
    <x v="1"/>
    <x v="72"/>
    <x v="524"/>
    <x v="66"/>
    <x v="415"/>
    <x v="90"/>
    <x v="498"/>
    <x v="1"/>
  </r>
  <r>
    <x v="0"/>
    <x v="50"/>
    <x v="50"/>
    <x v="1"/>
    <x v="1"/>
    <x v="1"/>
    <x v="2"/>
    <x v="267"/>
    <x v="525"/>
    <x v="64"/>
    <x v="584"/>
    <x v="201"/>
    <x v="92"/>
    <x v="1"/>
  </r>
  <r>
    <x v="0"/>
    <x v="50"/>
    <x v="50"/>
    <x v="3"/>
    <x v="3"/>
    <x v="3"/>
    <x v="3"/>
    <x v="229"/>
    <x v="512"/>
    <x v="92"/>
    <x v="488"/>
    <x v="180"/>
    <x v="499"/>
    <x v="1"/>
  </r>
  <r>
    <x v="0"/>
    <x v="50"/>
    <x v="50"/>
    <x v="5"/>
    <x v="5"/>
    <x v="5"/>
    <x v="4"/>
    <x v="287"/>
    <x v="526"/>
    <x v="50"/>
    <x v="343"/>
    <x v="186"/>
    <x v="500"/>
    <x v="1"/>
  </r>
  <r>
    <x v="0"/>
    <x v="50"/>
    <x v="50"/>
    <x v="9"/>
    <x v="9"/>
    <x v="9"/>
    <x v="5"/>
    <x v="232"/>
    <x v="527"/>
    <x v="37"/>
    <x v="585"/>
    <x v="182"/>
    <x v="74"/>
    <x v="1"/>
  </r>
  <r>
    <x v="0"/>
    <x v="50"/>
    <x v="50"/>
    <x v="31"/>
    <x v="31"/>
    <x v="31"/>
    <x v="6"/>
    <x v="233"/>
    <x v="528"/>
    <x v="82"/>
    <x v="586"/>
    <x v="186"/>
    <x v="500"/>
    <x v="1"/>
  </r>
  <r>
    <x v="0"/>
    <x v="50"/>
    <x v="50"/>
    <x v="12"/>
    <x v="12"/>
    <x v="12"/>
    <x v="7"/>
    <x v="242"/>
    <x v="529"/>
    <x v="66"/>
    <x v="415"/>
    <x v="184"/>
    <x v="471"/>
    <x v="1"/>
  </r>
  <r>
    <x v="0"/>
    <x v="50"/>
    <x v="50"/>
    <x v="10"/>
    <x v="10"/>
    <x v="10"/>
    <x v="8"/>
    <x v="255"/>
    <x v="362"/>
    <x v="102"/>
    <x v="409"/>
    <x v="182"/>
    <x v="74"/>
    <x v="1"/>
  </r>
  <r>
    <x v="0"/>
    <x v="50"/>
    <x v="50"/>
    <x v="2"/>
    <x v="2"/>
    <x v="2"/>
    <x v="9"/>
    <x v="256"/>
    <x v="363"/>
    <x v="54"/>
    <x v="351"/>
    <x v="194"/>
    <x v="290"/>
    <x v="1"/>
  </r>
  <r>
    <x v="0"/>
    <x v="50"/>
    <x v="50"/>
    <x v="8"/>
    <x v="8"/>
    <x v="8"/>
    <x v="9"/>
    <x v="256"/>
    <x v="363"/>
    <x v="80"/>
    <x v="159"/>
    <x v="195"/>
    <x v="492"/>
    <x v="1"/>
  </r>
  <r>
    <x v="0"/>
    <x v="50"/>
    <x v="50"/>
    <x v="35"/>
    <x v="35"/>
    <x v="35"/>
    <x v="11"/>
    <x v="258"/>
    <x v="530"/>
    <x v="63"/>
    <x v="587"/>
    <x v="195"/>
    <x v="492"/>
    <x v="1"/>
  </r>
  <r>
    <x v="0"/>
    <x v="50"/>
    <x v="50"/>
    <x v="6"/>
    <x v="6"/>
    <x v="6"/>
    <x v="11"/>
    <x v="258"/>
    <x v="530"/>
    <x v="70"/>
    <x v="588"/>
    <x v="195"/>
    <x v="492"/>
    <x v="4"/>
  </r>
  <r>
    <x v="0"/>
    <x v="50"/>
    <x v="50"/>
    <x v="15"/>
    <x v="15"/>
    <x v="15"/>
    <x v="11"/>
    <x v="258"/>
    <x v="530"/>
    <x v="116"/>
    <x v="151"/>
    <x v="186"/>
    <x v="500"/>
    <x v="1"/>
  </r>
  <r>
    <x v="0"/>
    <x v="50"/>
    <x v="50"/>
    <x v="21"/>
    <x v="21"/>
    <x v="21"/>
    <x v="14"/>
    <x v="259"/>
    <x v="70"/>
    <x v="56"/>
    <x v="589"/>
    <x v="184"/>
    <x v="471"/>
    <x v="1"/>
  </r>
  <r>
    <x v="0"/>
    <x v="50"/>
    <x v="50"/>
    <x v="7"/>
    <x v="7"/>
    <x v="7"/>
    <x v="15"/>
    <x v="302"/>
    <x v="35"/>
    <x v="126"/>
    <x v="590"/>
    <x v="193"/>
    <x v="264"/>
    <x v="1"/>
  </r>
  <r>
    <x v="0"/>
    <x v="50"/>
    <x v="50"/>
    <x v="13"/>
    <x v="13"/>
    <x v="13"/>
    <x v="15"/>
    <x v="302"/>
    <x v="35"/>
    <x v="102"/>
    <x v="409"/>
    <x v="201"/>
    <x v="92"/>
    <x v="1"/>
  </r>
  <r>
    <x v="0"/>
    <x v="50"/>
    <x v="50"/>
    <x v="30"/>
    <x v="30"/>
    <x v="30"/>
    <x v="15"/>
    <x v="302"/>
    <x v="35"/>
    <x v="126"/>
    <x v="590"/>
    <x v="193"/>
    <x v="264"/>
    <x v="1"/>
  </r>
  <r>
    <x v="0"/>
    <x v="50"/>
    <x v="50"/>
    <x v="11"/>
    <x v="11"/>
    <x v="11"/>
    <x v="18"/>
    <x v="303"/>
    <x v="73"/>
    <x v="70"/>
    <x v="588"/>
    <x v="201"/>
    <x v="92"/>
    <x v="1"/>
  </r>
  <r>
    <x v="0"/>
    <x v="50"/>
    <x v="50"/>
    <x v="27"/>
    <x v="27"/>
    <x v="27"/>
    <x v="19"/>
    <x v="304"/>
    <x v="124"/>
    <x v="103"/>
    <x v="591"/>
    <x v="194"/>
    <x v="290"/>
    <x v="1"/>
  </r>
  <r>
    <x v="0"/>
    <x v="50"/>
    <x v="50"/>
    <x v="32"/>
    <x v="32"/>
    <x v="32"/>
    <x v="19"/>
    <x v="304"/>
    <x v="124"/>
    <x v="56"/>
    <x v="589"/>
    <x v="193"/>
    <x v="264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1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3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5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2"/>
  </r>
  <r>
    <x v="0"/>
    <x v="0"/>
    <x v="0"/>
    <x v="13"/>
    <x v="13"/>
    <x v="13"/>
    <x v="13"/>
    <x v="13"/>
    <x v="13"/>
    <x v="11"/>
    <x v="11"/>
    <x v="13"/>
    <x v="13"/>
    <x v="6"/>
  </r>
  <r>
    <x v="0"/>
    <x v="0"/>
    <x v="0"/>
    <x v="14"/>
    <x v="14"/>
    <x v="14"/>
    <x v="14"/>
    <x v="14"/>
    <x v="14"/>
    <x v="13"/>
    <x v="13"/>
    <x v="14"/>
    <x v="14"/>
    <x v="0"/>
  </r>
  <r>
    <x v="0"/>
    <x v="0"/>
    <x v="0"/>
    <x v="15"/>
    <x v="15"/>
    <x v="15"/>
    <x v="15"/>
    <x v="15"/>
    <x v="15"/>
    <x v="14"/>
    <x v="14"/>
    <x v="15"/>
    <x v="15"/>
    <x v="0"/>
  </r>
  <r>
    <x v="0"/>
    <x v="0"/>
    <x v="0"/>
    <x v="16"/>
    <x v="16"/>
    <x v="16"/>
    <x v="16"/>
    <x v="16"/>
    <x v="16"/>
    <x v="15"/>
    <x v="15"/>
    <x v="16"/>
    <x v="16"/>
    <x v="0"/>
  </r>
  <r>
    <x v="0"/>
    <x v="0"/>
    <x v="0"/>
    <x v="17"/>
    <x v="17"/>
    <x v="17"/>
    <x v="17"/>
    <x v="17"/>
    <x v="17"/>
    <x v="16"/>
    <x v="16"/>
    <x v="17"/>
    <x v="17"/>
    <x v="0"/>
  </r>
  <r>
    <x v="0"/>
    <x v="0"/>
    <x v="0"/>
    <x v="18"/>
    <x v="18"/>
    <x v="18"/>
    <x v="18"/>
    <x v="18"/>
    <x v="18"/>
    <x v="17"/>
    <x v="17"/>
    <x v="18"/>
    <x v="18"/>
    <x v="7"/>
  </r>
  <r>
    <x v="0"/>
    <x v="0"/>
    <x v="0"/>
    <x v="19"/>
    <x v="19"/>
    <x v="19"/>
    <x v="19"/>
    <x v="19"/>
    <x v="19"/>
    <x v="18"/>
    <x v="18"/>
    <x v="19"/>
    <x v="19"/>
    <x v="7"/>
  </r>
  <r>
    <x v="0"/>
    <x v="1"/>
    <x v="1"/>
    <x v="1"/>
    <x v="1"/>
    <x v="1"/>
    <x v="0"/>
    <x v="20"/>
    <x v="20"/>
    <x v="19"/>
    <x v="19"/>
    <x v="20"/>
    <x v="20"/>
    <x v="0"/>
  </r>
  <r>
    <x v="0"/>
    <x v="1"/>
    <x v="1"/>
    <x v="0"/>
    <x v="0"/>
    <x v="0"/>
    <x v="1"/>
    <x v="21"/>
    <x v="21"/>
    <x v="20"/>
    <x v="20"/>
    <x v="21"/>
    <x v="21"/>
    <x v="0"/>
  </r>
  <r>
    <x v="0"/>
    <x v="1"/>
    <x v="1"/>
    <x v="3"/>
    <x v="3"/>
    <x v="3"/>
    <x v="2"/>
    <x v="22"/>
    <x v="22"/>
    <x v="21"/>
    <x v="21"/>
    <x v="22"/>
    <x v="22"/>
    <x v="0"/>
  </r>
  <r>
    <x v="0"/>
    <x v="1"/>
    <x v="1"/>
    <x v="9"/>
    <x v="9"/>
    <x v="9"/>
    <x v="3"/>
    <x v="23"/>
    <x v="23"/>
    <x v="22"/>
    <x v="22"/>
    <x v="23"/>
    <x v="23"/>
    <x v="0"/>
  </r>
  <r>
    <x v="0"/>
    <x v="1"/>
    <x v="1"/>
    <x v="2"/>
    <x v="2"/>
    <x v="2"/>
    <x v="4"/>
    <x v="24"/>
    <x v="24"/>
    <x v="23"/>
    <x v="23"/>
    <x v="24"/>
    <x v="24"/>
    <x v="0"/>
  </r>
  <r>
    <x v="0"/>
    <x v="1"/>
    <x v="1"/>
    <x v="7"/>
    <x v="7"/>
    <x v="7"/>
    <x v="5"/>
    <x v="25"/>
    <x v="25"/>
    <x v="24"/>
    <x v="24"/>
    <x v="25"/>
    <x v="25"/>
    <x v="0"/>
  </r>
  <r>
    <x v="0"/>
    <x v="1"/>
    <x v="1"/>
    <x v="5"/>
    <x v="5"/>
    <x v="5"/>
    <x v="6"/>
    <x v="26"/>
    <x v="26"/>
    <x v="25"/>
    <x v="25"/>
    <x v="26"/>
    <x v="26"/>
    <x v="7"/>
  </r>
  <r>
    <x v="0"/>
    <x v="1"/>
    <x v="1"/>
    <x v="4"/>
    <x v="4"/>
    <x v="4"/>
    <x v="7"/>
    <x v="27"/>
    <x v="27"/>
    <x v="26"/>
    <x v="26"/>
    <x v="27"/>
    <x v="27"/>
    <x v="6"/>
  </r>
  <r>
    <x v="0"/>
    <x v="1"/>
    <x v="1"/>
    <x v="8"/>
    <x v="8"/>
    <x v="8"/>
    <x v="8"/>
    <x v="28"/>
    <x v="28"/>
    <x v="27"/>
    <x v="27"/>
    <x v="28"/>
    <x v="28"/>
    <x v="3"/>
  </r>
  <r>
    <x v="0"/>
    <x v="1"/>
    <x v="1"/>
    <x v="6"/>
    <x v="6"/>
    <x v="6"/>
    <x v="9"/>
    <x v="29"/>
    <x v="29"/>
    <x v="28"/>
    <x v="28"/>
    <x v="29"/>
    <x v="29"/>
    <x v="0"/>
  </r>
  <r>
    <x v="0"/>
    <x v="1"/>
    <x v="1"/>
    <x v="12"/>
    <x v="12"/>
    <x v="12"/>
    <x v="10"/>
    <x v="30"/>
    <x v="30"/>
    <x v="29"/>
    <x v="29"/>
    <x v="30"/>
    <x v="30"/>
    <x v="0"/>
  </r>
  <r>
    <x v="0"/>
    <x v="1"/>
    <x v="1"/>
    <x v="14"/>
    <x v="14"/>
    <x v="14"/>
    <x v="11"/>
    <x v="31"/>
    <x v="31"/>
    <x v="30"/>
    <x v="30"/>
    <x v="31"/>
    <x v="31"/>
    <x v="0"/>
  </r>
  <r>
    <x v="0"/>
    <x v="1"/>
    <x v="1"/>
    <x v="15"/>
    <x v="15"/>
    <x v="15"/>
    <x v="12"/>
    <x v="32"/>
    <x v="32"/>
    <x v="31"/>
    <x v="31"/>
    <x v="32"/>
    <x v="32"/>
    <x v="0"/>
  </r>
  <r>
    <x v="0"/>
    <x v="1"/>
    <x v="1"/>
    <x v="13"/>
    <x v="13"/>
    <x v="13"/>
    <x v="13"/>
    <x v="33"/>
    <x v="33"/>
    <x v="32"/>
    <x v="32"/>
    <x v="33"/>
    <x v="33"/>
    <x v="0"/>
  </r>
  <r>
    <x v="0"/>
    <x v="1"/>
    <x v="1"/>
    <x v="20"/>
    <x v="20"/>
    <x v="20"/>
    <x v="14"/>
    <x v="34"/>
    <x v="16"/>
    <x v="33"/>
    <x v="33"/>
    <x v="34"/>
    <x v="32"/>
    <x v="0"/>
  </r>
  <r>
    <x v="0"/>
    <x v="1"/>
    <x v="1"/>
    <x v="21"/>
    <x v="21"/>
    <x v="21"/>
    <x v="15"/>
    <x v="35"/>
    <x v="34"/>
    <x v="34"/>
    <x v="34"/>
    <x v="35"/>
    <x v="34"/>
    <x v="8"/>
  </r>
  <r>
    <x v="0"/>
    <x v="1"/>
    <x v="1"/>
    <x v="22"/>
    <x v="22"/>
    <x v="22"/>
    <x v="16"/>
    <x v="36"/>
    <x v="35"/>
    <x v="35"/>
    <x v="35"/>
    <x v="36"/>
    <x v="35"/>
    <x v="0"/>
  </r>
  <r>
    <x v="0"/>
    <x v="1"/>
    <x v="1"/>
    <x v="19"/>
    <x v="19"/>
    <x v="19"/>
    <x v="17"/>
    <x v="37"/>
    <x v="36"/>
    <x v="36"/>
    <x v="36"/>
    <x v="37"/>
    <x v="36"/>
    <x v="7"/>
  </r>
  <r>
    <x v="0"/>
    <x v="1"/>
    <x v="1"/>
    <x v="23"/>
    <x v="23"/>
    <x v="23"/>
    <x v="18"/>
    <x v="38"/>
    <x v="37"/>
    <x v="37"/>
    <x v="37"/>
    <x v="38"/>
    <x v="13"/>
    <x v="0"/>
  </r>
  <r>
    <x v="0"/>
    <x v="1"/>
    <x v="1"/>
    <x v="24"/>
    <x v="24"/>
    <x v="24"/>
    <x v="19"/>
    <x v="39"/>
    <x v="38"/>
    <x v="38"/>
    <x v="38"/>
    <x v="39"/>
    <x v="37"/>
    <x v="7"/>
  </r>
  <r>
    <x v="0"/>
    <x v="2"/>
    <x v="2"/>
    <x v="1"/>
    <x v="1"/>
    <x v="1"/>
    <x v="0"/>
    <x v="40"/>
    <x v="39"/>
    <x v="39"/>
    <x v="39"/>
    <x v="40"/>
    <x v="38"/>
    <x v="0"/>
  </r>
  <r>
    <x v="0"/>
    <x v="2"/>
    <x v="2"/>
    <x v="0"/>
    <x v="0"/>
    <x v="0"/>
    <x v="1"/>
    <x v="41"/>
    <x v="40"/>
    <x v="40"/>
    <x v="40"/>
    <x v="41"/>
    <x v="39"/>
    <x v="0"/>
  </r>
  <r>
    <x v="0"/>
    <x v="2"/>
    <x v="2"/>
    <x v="4"/>
    <x v="4"/>
    <x v="4"/>
    <x v="2"/>
    <x v="42"/>
    <x v="41"/>
    <x v="41"/>
    <x v="41"/>
    <x v="42"/>
    <x v="40"/>
    <x v="3"/>
  </r>
  <r>
    <x v="0"/>
    <x v="2"/>
    <x v="2"/>
    <x v="5"/>
    <x v="5"/>
    <x v="5"/>
    <x v="3"/>
    <x v="43"/>
    <x v="42"/>
    <x v="42"/>
    <x v="42"/>
    <x v="43"/>
    <x v="21"/>
    <x v="0"/>
  </r>
  <r>
    <x v="0"/>
    <x v="2"/>
    <x v="2"/>
    <x v="3"/>
    <x v="3"/>
    <x v="3"/>
    <x v="4"/>
    <x v="44"/>
    <x v="43"/>
    <x v="43"/>
    <x v="43"/>
    <x v="44"/>
    <x v="41"/>
    <x v="0"/>
  </r>
  <r>
    <x v="0"/>
    <x v="2"/>
    <x v="2"/>
    <x v="7"/>
    <x v="7"/>
    <x v="7"/>
    <x v="4"/>
    <x v="44"/>
    <x v="43"/>
    <x v="29"/>
    <x v="44"/>
    <x v="45"/>
    <x v="42"/>
    <x v="0"/>
  </r>
  <r>
    <x v="0"/>
    <x v="2"/>
    <x v="2"/>
    <x v="2"/>
    <x v="2"/>
    <x v="2"/>
    <x v="6"/>
    <x v="45"/>
    <x v="44"/>
    <x v="44"/>
    <x v="45"/>
    <x v="45"/>
    <x v="42"/>
    <x v="0"/>
  </r>
  <r>
    <x v="0"/>
    <x v="2"/>
    <x v="2"/>
    <x v="8"/>
    <x v="8"/>
    <x v="8"/>
    <x v="7"/>
    <x v="46"/>
    <x v="45"/>
    <x v="45"/>
    <x v="46"/>
    <x v="41"/>
    <x v="39"/>
    <x v="7"/>
  </r>
  <r>
    <x v="0"/>
    <x v="2"/>
    <x v="2"/>
    <x v="14"/>
    <x v="14"/>
    <x v="14"/>
    <x v="8"/>
    <x v="47"/>
    <x v="46"/>
    <x v="46"/>
    <x v="47"/>
    <x v="46"/>
    <x v="43"/>
    <x v="0"/>
  </r>
  <r>
    <x v="0"/>
    <x v="2"/>
    <x v="2"/>
    <x v="12"/>
    <x v="12"/>
    <x v="12"/>
    <x v="9"/>
    <x v="48"/>
    <x v="47"/>
    <x v="47"/>
    <x v="48"/>
    <x v="47"/>
    <x v="44"/>
    <x v="0"/>
  </r>
  <r>
    <x v="0"/>
    <x v="2"/>
    <x v="2"/>
    <x v="6"/>
    <x v="6"/>
    <x v="6"/>
    <x v="10"/>
    <x v="49"/>
    <x v="48"/>
    <x v="45"/>
    <x v="46"/>
    <x v="48"/>
    <x v="45"/>
    <x v="0"/>
  </r>
  <r>
    <x v="0"/>
    <x v="2"/>
    <x v="2"/>
    <x v="23"/>
    <x v="23"/>
    <x v="23"/>
    <x v="11"/>
    <x v="50"/>
    <x v="49"/>
    <x v="48"/>
    <x v="49"/>
    <x v="49"/>
    <x v="46"/>
    <x v="0"/>
  </r>
  <r>
    <x v="0"/>
    <x v="2"/>
    <x v="2"/>
    <x v="18"/>
    <x v="18"/>
    <x v="18"/>
    <x v="12"/>
    <x v="51"/>
    <x v="50"/>
    <x v="49"/>
    <x v="50"/>
    <x v="36"/>
    <x v="47"/>
    <x v="0"/>
  </r>
  <r>
    <x v="0"/>
    <x v="2"/>
    <x v="2"/>
    <x v="21"/>
    <x v="21"/>
    <x v="21"/>
    <x v="13"/>
    <x v="52"/>
    <x v="51"/>
    <x v="50"/>
    <x v="51"/>
    <x v="50"/>
    <x v="48"/>
    <x v="0"/>
  </r>
  <r>
    <x v="0"/>
    <x v="2"/>
    <x v="2"/>
    <x v="25"/>
    <x v="25"/>
    <x v="25"/>
    <x v="13"/>
    <x v="52"/>
    <x v="51"/>
    <x v="51"/>
    <x v="34"/>
    <x v="51"/>
    <x v="34"/>
    <x v="0"/>
  </r>
  <r>
    <x v="0"/>
    <x v="2"/>
    <x v="2"/>
    <x v="26"/>
    <x v="26"/>
    <x v="26"/>
    <x v="15"/>
    <x v="53"/>
    <x v="52"/>
    <x v="50"/>
    <x v="51"/>
    <x v="51"/>
    <x v="34"/>
    <x v="0"/>
  </r>
  <r>
    <x v="0"/>
    <x v="2"/>
    <x v="2"/>
    <x v="20"/>
    <x v="20"/>
    <x v="20"/>
    <x v="15"/>
    <x v="53"/>
    <x v="52"/>
    <x v="52"/>
    <x v="52"/>
    <x v="52"/>
    <x v="49"/>
    <x v="0"/>
  </r>
  <r>
    <x v="0"/>
    <x v="2"/>
    <x v="2"/>
    <x v="27"/>
    <x v="27"/>
    <x v="27"/>
    <x v="15"/>
    <x v="53"/>
    <x v="52"/>
    <x v="53"/>
    <x v="53"/>
    <x v="53"/>
    <x v="50"/>
    <x v="0"/>
  </r>
  <r>
    <x v="0"/>
    <x v="2"/>
    <x v="2"/>
    <x v="16"/>
    <x v="16"/>
    <x v="16"/>
    <x v="18"/>
    <x v="54"/>
    <x v="53"/>
    <x v="54"/>
    <x v="54"/>
    <x v="54"/>
    <x v="51"/>
    <x v="0"/>
  </r>
  <r>
    <x v="0"/>
    <x v="2"/>
    <x v="2"/>
    <x v="15"/>
    <x v="15"/>
    <x v="15"/>
    <x v="19"/>
    <x v="55"/>
    <x v="54"/>
    <x v="55"/>
    <x v="55"/>
    <x v="55"/>
    <x v="52"/>
    <x v="0"/>
  </r>
  <r>
    <x v="0"/>
    <x v="3"/>
    <x v="3"/>
    <x v="1"/>
    <x v="1"/>
    <x v="1"/>
    <x v="0"/>
    <x v="56"/>
    <x v="55"/>
    <x v="56"/>
    <x v="56"/>
    <x v="56"/>
    <x v="53"/>
    <x v="0"/>
  </r>
  <r>
    <x v="0"/>
    <x v="3"/>
    <x v="3"/>
    <x v="0"/>
    <x v="0"/>
    <x v="0"/>
    <x v="1"/>
    <x v="57"/>
    <x v="56"/>
    <x v="57"/>
    <x v="57"/>
    <x v="57"/>
    <x v="0"/>
    <x v="0"/>
  </r>
  <r>
    <x v="0"/>
    <x v="3"/>
    <x v="3"/>
    <x v="3"/>
    <x v="3"/>
    <x v="3"/>
    <x v="2"/>
    <x v="58"/>
    <x v="57"/>
    <x v="42"/>
    <x v="58"/>
    <x v="58"/>
    <x v="37"/>
    <x v="0"/>
  </r>
  <r>
    <x v="0"/>
    <x v="3"/>
    <x v="3"/>
    <x v="5"/>
    <x v="5"/>
    <x v="5"/>
    <x v="3"/>
    <x v="59"/>
    <x v="58"/>
    <x v="58"/>
    <x v="59"/>
    <x v="58"/>
    <x v="37"/>
    <x v="0"/>
  </r>
  <r>
    <x v="0"/>
    <x v="3"/>
    <x v="3"/>
    <x v="7"/>
    <x v="7"/>
    <x v="7"/>
    <x v="4"/>
    <x v="60"/>
    <x v="59"/>
    <x v="59"/>
    <x v="60"/>
    <x v="59"/>
    <x v="25"/>
    <x v="0"/>
  </r>
  <r>
    <x v="0"/>
    <x v="3"/>
    <x v="3"/>
    <x v="4"/>
    <x v="4"/>
    <x v="4"/>
    <x v="5"/>
    <x v="46"/>
    <x v="60"/>
    <x v="60"/>
    <x v="9"/>
    <x v="60"/>
    <x v="54"/>
    <x v="0"/>
  </r>
  <r>
    <x v="0"/>
    <x v="3"/>
    <x v="3"/>
    <x v="2"/>
    <x v="2"/>
    <x v="2"/>
    <x v="6"/>
    <x v="61"/>
    <x v="61"/>
    <x v="61"/>
    <x v="61"/>
    <x v="61"/>
    <x v="55"/>
    <x v="0"/>
  </r>
  <r>
    <x v="0"/>
    <x v="3"/>
    <x v="3"/>
    <x v="14"/>
    <x v="14"/>
    <x v="14"/>
    <x v="7"/>
    <x v="62"/>
    <x v="62"/>
    <x v="62"/>
    <x v="62"/>
    <x v="62"/>
    <x v="56"/>
    <x v="0"/>
  </r>
  <r>
    <x v="0"/>
    <x v="3"/>
    <x v="3"/>
    <x v="8"/>
    <x v="8"/>
    <x v="8"/>
    <x v="8"/>
    <x v="63"/>
    <x v="43"/>
    <x v="63"/>
    <x v="63"/>
    <x v="55"/>
    <x v="57"/>
    <x v="0"/>
  </r>
  <r>
    <x v="0"/>
    <x v="3"/>
    <x v="3"/>
    <x v="13"/>
    <x v="13"/>
    <x v="13"/>
    <x v="9"/>
    <x v="48"/>
    <x v="63"/>
    <x v="64"/>
    <x v="64"/>
    <x v="63"/>
    <x v="58"/>
    <x v="0"/>
  </r>
  <r>
    <x v="0"/>
    <x v="3"/>
    <x v="3"/>
    <x v="6"/>
    <x v="6"/>
    <x v="6"/>
    <x v="10"/>
    <x v="64"/>
    <x v="64"/>
    <x v="65"/>
    <x v="25"/>
    <x v="64"/>
    <x v="59"/>
    <x v="0"/>
  </r>
  <r>
    <x v="0"/>
    <x v="3"/>
    <x v="3"/>
    <x v="9"/>
    <x v="9"/>
    <x v="9"/>
    <x v="11"/>
    <x v="51"/>
    <x v="65"/>
    <x v="66"/>
    <x v="65"/>
    <x v="65"/>
    <x v="60"/>
    <x v="0"/>
  </r>
  <r>
    <x v="0"/>
    <x v="3"/>
    <x v="3"/>
    <x v="23"/>
    <x v="23"/>
    <x v="23"/>
    <x v="12"/>
    <x v="65"/>
    <x v="66"/>
    <x v="67"/>
    <x v="66"/>
    <x v="66"/>
    <x v="61"/>
    <x v="0"/>
  </r>
  <r>
    <x v="0"/>
    <x v="3"/>
    <x v="3"/>
    <x v="15"/>
    <x v="15"/>
    <x v="15"/>
    <x v="13"/>
    <x v="66"/>
    <x v="50"/>
    <x v="34"/>
    <x v="67"/>
    <x v="58"/>
    <x v="37"/>
    <x v="0"/>
  </r>
  <r>
    <x v="0"/>
    <x v="3"/>
    <x v="3"/>
    <x v="28"/>
    <x v="28"/>
    <x v="28"/>
    <x v="13"/>
    <x v="66"/>
    <x v="50"/>
    <x v="34"/>
    <x v="67"/>
    <x v="58"/>
    <x v="37"/>
    <x v="0"/>
  </r>
  <r>
    <x v="0"/>
    <x v="3"/>
    <x v="3"/>
    <x v="21"/>
    <x v="21"/>
    <x v="21"/>
    <x v="13"/>
    <x v="66"/>
    <x v="50"/>
    <x v="51"/>
    <x v="68"/>
    <x v="49"/>
    <x v="62"/>
    <x v="0"/>
  </r>
  <r>
    <x v="0"/>
    <x v="3"/>
    <x v="3"/>
    <x v="22"/>
    <x v="22"/>
    <x v="22"/>
    <x v="13"/>
    <x v="66"/>
    <x v="50"/>
    <x v="68"/>
    <x v="69"/>
    <x v="67"/>
    <x v="63"/>
    <x v="0"/>
  </r>
  <r>
    <x v="0"/>
    <x v="3"/>
    <x v="3"/>
    <x v="12"/>
    <x v="12"/>
    <x v="12"/>
    <x v="17"/>
    <x v="67"/>
    <x v="52"/>
    <x v="51"/>
    <x v="68"/>
    <x v="68"/>
    <x v="64"/>
    <x v="0"/>
  </r>
  <r>
    <x v="0"/>
    <x v="3"/>
    <x v="3"/>
    <x v="29"/>
    <x v="29"/>
    <x v="29"/>
    <x v="18"/>
    <x v="68"/>
    <x v="67"/>
    <x v="69"/>
    <x v="70"/>
    <x v="69"/>
    <x v="65"/>
    <x v="0"/>
  </r>
  <r>
    <x v="0"/>
    <x v="3"/>
    <x v="3"/>
    <x v="17"/>
    <x v="17"/>
    <x v="17"/>
    <x v="19"/>
    <x v="69"/>
    <x v="53"/>
    <x v="62"/>
    <x v="62"/>
    <x v="70"/>
    <x v="66"/>
    <x v="0"/>
  </r>
  <r>
    <x v="0"/>
    <x v="4"/>
    <x v="4"/>
    <x v="1"/>
    <x v="1"/>
    <x v="1"/>
    <x v="0"/>
    <x v="70"/>
    <x v="68"/>
    <x v="70"/>
    <x v="71"/>
    <x v="71"/>
    <x v="67"/>
    <x v="0"/>
  </r>
  <r>
    <x v="0"/>
    <x v="4"/>
    <x v="4"/>
    <x v="2"/>
    <x v="2"/>
    <x v="2"/>
    <x v="1"/>
    <x v="71"/>
    <x v="69"/>
    <x v="71"/>
    <x v="72"/>
    <x v="59"/>
    <x v="68"/>
    <x v="0"/>
  </r>
  <r>
    <x v="0"/>
    <x v="4"/>
    <x v="4"/>
    <x v="7"/>
    <x v="7"/>
    <x v="7"/>
    <x v="2"/>
    <x v="42"/>
    <x v="70"/>
    <x v="72"/>
    <x v="73"/>
    <x v="72"/>
    <x v="69"/>
    <x v="0"/>
  </r>
  <r>
    <x v="0"/>
    <x v="4"/>
    <x v="4"/>
    <x v="3"/>
    <x v="3"/>
    <x v="3"/>
    <x v="3"/>
    <x v="72"/>
    <x v="71"/>
    <x v="73"/>
    <x v="74"/>
    <x v="73"/>
    <x v="70"/>
    <x v="0"/>
  </r>
  <r>
    <x v="0"/>
    <x v="4"/>
    <x v="4"/>
    <x v="0"/>
    <x v="0"/>
    <x v="0"/>
    <x v="4"/>
    <x v="73"/>
    <x v="72"/>
    <x v="74"/>
    <x v="75"/>
    <x v="74"/>
    <x v="71"/>
    <x v="0"/>
  </r>
  <r>
    <x v="0"/>
    <x v="4"/>
    <x v="4"/>
    <x v="8"/>
    <x v="8"/>
    <x v="8"/>
    <x v="5"/>
    <x v="74"/>
    <x v="73"/>
    <x v="43"/>
    <x v="76"/>
    <x v="75"/>
    <x v="72"/>
    <x v="0"/>
  </r>
  <r>
    <x v="0"/>
    <x v="4"/>
    <x v="4"/>
    <x v="13"/>
    <x v="13"/>
    <x v="13"/>
    <x v="6"/>
    <x v="75"/>
    <x v="74"/>
    <x v="75"/>
    <x v="77"/>
    <x v="60"/>
    <x v="73"/>
    <x v="0"/>
  </r>
  <r>
    <x v="0"/>
    <x v="4"/>
    <x v="4"/>
    <x v="9"/>
    <x v="9"/>
    <x v="9"/>
    <x v="7"/>
    <x v="76"/>
    <x v="45"/>
    <x v="76"/>
    <x v="78"/>
    <x v="65"/>
    <x v="74"/>
    <x v="0"/>
  </r>
  <r>
    <x v="0"/>
    <x v="4"/>
    <x v="4"/>
    <x v="22"/>
    <x v="22"/>
    <x v="22"/>
    <x v="8"/>
    <x v="77"/>
    <x v="10"/>
    <x v="61"/>
    <x v="79"/>
    <x v="59"/>
    <x v="68"/>
    <x v="0"/>
  </r>
  <r>
    <x v="0"/>
    <x v="4"/>
    <x v="4"/>
    <x v="6"/>
    <x v="6"/>
    <x v="6"/>
    <x v="8"/>
    <x v="77"/>
    <x v="10"/>
    <x v="75"/>
    <x v="77"/>
    <x v="67"/>
    <x v="75"/>
    <x v="0"/>
  </r>
  <r>
    <x v="0"/>
    <x v="4"/>
    <x v="4"/>
    <x v="5"/>
    <x v="5"/>
    <x v="5"/>
    <x v="10"/>
    <x v="61"/>
    <x v="75"/>
    <x v="77"/>
    <x v="80"/>
    <x v="76"/>
    <x v="76"/>
    <x v="0"/>
  </r>
  <r>
    <x v="0"/>
    <x v="4"/>
    <x v="4"/>
    <x v="30"/>
    <x v="30"/>
    <x v="30"/>
    <x v="11"/>
    <x v="78"/>
    <x v="76"/>
    <x v="78"/>
    <x v="81"/>
    <x v="77"/>
    <x v="77"/>
    <x v="0"/>
  </r>
  <r>
    <x v="0"/>
    <x v="4"/>
    <x v="4"/>
    <x v="24"/>
    <x v="24"/>
    <x v="24"/>
    <x v="12"/>
    <x v="51"/>
    <x v="77"/>
    <x v="79"/>
    <x v="82"/>
    <x v="57"/>
    <x v="78"/>
    <x v="0"/>
  </r>
  <r>
    <x v="0"/>
    <x v="4"/>
    <x v="4"/>
    <x v="14"/>
    <x v="14"/>
    <x v="14"/>
    <x v="13"/>
    <x v="79"/>
    <x v="51"/>
    <x v="62"/>
    <x v="83"/>
    <x v="78"/>
    <x v="31"/>
    <x v="0"/>
  </r>
  <r>
    <x v="0"/>
    <x v="4"/>
    <x v="4"/>
    <x v="23"/>
    <x v="23"/>
    <x v="23"/>
    <x v="13"/>
    <x v="79"/>
    <x v="51"/>
    <x v="80"/>
    <x v="84"/>
    <x v="58"/>
    <x v="79"/>
    <x v="0"/>
  </r>
  <r>
    <x v="0"/>
    <x v="4"/>
    <x v="4"/>
    <x v="12"/>
    <x v="12"/>
    <x v="12"/>
    <x v="15"/>
    <x v="80"/>
    <x v="15"/>
    <x v="69"/>
    <x v="85"/>
    <x v="49"/>
    <x v="80"/>
    <x v="0"/>
  </r>
  <r>
    <x v="0"/>
    <x v="4"/>
    <x v="4"/>
    <x v="17"/>
    <x v="17"/>
    <x v="17"/>
    <x v="16"/>
    <x v="81"/>
    <x v="78"/>
    <x v="69"/>
    <x v="85"/>
    <x v="52"/>
    <x v="81"/>
    <x v="0"/>
  </r>
  <r>
    <x v="0"/>
    <x v="4"/>
    <x v="4"/>
    <x v="19"/>
    <x v="19"/>
    <x v="19"/>
    <x v="17"/>
    <x v="82"/>
    <x v="79"/>
    <x v="52"/>
    <x v="86"/>
    <x v="79"/>
    <x v="51"/>
    <x v="0"/>
  </r>
  <r>
    <x v="0"/>
    <x v="4"/>
    <x v="4"/>
    <x v="16"/>
    <x v="16"/>
    <x v="16"/>
    <x v="18"/>
    <x v="66"/>
    <x v="80"/>
    <x v="54"/>
    <x v="87"/>
    <x v="52"/>
    <x v="81"/>
    <x v="0"/>
  </r>
  <r>
    <x v="0"/>
    <x v="4"/>
    <x v="4"/>
    <x v="31"/>
    <x v="31"/>
    <x v="31"/>
    <x v="19"/>
    <x v="83"/>
    <x v="36"/>
    <x v="81"/>
    <x v="88"/>
    <x v="69"/>
    <x v="82"/>
    <x v="0"/>
  </r>
  <r>
    <x v="0"/>
    <x v="4"/>
    <x v="4"/>
    <x v="32"/>
    <x v="32"/>
    <x v="32"/>
    <x v="19"/>
    <x v="83"/>
    <x v="36"/>
    <x v="50"/>
    <x v="89"/>
    <x v="80"/>
    <x v="83"/>
    <x v="0"/>
  </r>
  <r>
    <x v="0"/>
    <x v="4"/>
    <x v="4"/>
    <x v="28"/>
    <x v="28"/>
    <x v="28"/>
    <x v="19"/>
    <x v="83"/>
    <x v="36"/>
    <x v="82"/>
    <x v="90"/>
    <x v="58"/>
    <x v="79"/>
    <x v="0"/>
  </r>
  <r>
    <x v="0"/>
    <x v="5"/>
    <x v="5"/>
    <x v="2"/>
    <x v="2"/>
    <x v="2"/>
    <x v="0"/>
    <x v="84"/>
    <x v="81"/>
    <x v="72"/>
    <x v="91"/>
    <x v="61"/>
    <x v="84"/>
    <x v="0"/>
  </r>
  <r>
    <x v="0"/>
    <x v="5"/>
    <x v="5"/>
    <x v="33"/>
    <x v="33"/>
    <x v="33"/>
    <x v="1"/>
    <x v="85"/>
    <x v="82"/>
    <x v="83"/>
    <x v="92"/>
    <x v="81"/>
    <x v="70"/>
    <x v="0"/>
  </r>
  <r>
    <x v="0"/>
    <x v="5"/>
    <x v="5"/>
    <x v="0"/>
    <x v="0"/>
    <x v="0"/>
    <x v="2"/>
    <x v="86"/>
    <x v="83"/>
    <x v="42"/>
    <x v="23"/>
    <x v="77"/>
    <x v="85"/>
    <x v="0"/>
  </r>
  <r>
    <x v="0"/>
    <x v="5"/>
    <x v="5"/>
    <x v="1"/>
    <x v="1"/>
    <x v="1"/>
    <x v="3"/>
    <x v="87"/>
    <x v="84"/>
    <x v="84"/>
    <x v="93"/>
    <x v="82"/>
    <x v="86"/>
    <x v="0"/>
  </r>
  <r>
    <x v="0"/>
    <x v="5"/>
    <x v="5"/>
    <x v="3"/>
    <x v="3"/>
    <x v="3"/>
    <x v="4"/>
    <x v="75"/>
    <x v="85"/>
    <x v="85"/>
    <x v="94"/>
    <x v="58"/>
    <x v="87"/>
    <x v="0"/>
  </r>
  <r>
    <x v="0"/>
    <x v="5"/>
    <x v="5"/>
    <x v="5"/>
    <x v="5"/>
    <x v="5"/>
    <x v="5"/>
    <x v="88"/>
    <x v="86"/>
    <x v="65"/>
    <x v="79"/>
    <x v="76"/>
    <x v="26"/>
    <x v="0"/>
  </r>
  <r>
    <x v="0"/>
    <x v="5"/>
    <x v="5"/>
    <x v="13"/>
    <x v="13"/>
    <x v="13"/>
    <x v="6"/>
    <x v="62"/>
    <x v="28"/>
    <x v="45"/>
    <x v="95"/>
    <x v="73"/>
    <x v="73"/>
    <x v="0"/>
  </r>
  <r>
    <x v="0"/>
    <x v="5"/>
    <x v="5"/>
    <x v="6"/>
    <x v="6"/>
    <x v="6"/>
    <x v="7"/>
    <x v="63"/>
    <x v="7"/>
    <x v="86"/>
    <x v="96"/>
    <x v="65"/>
    <x v="88"/>
    <x v="0"/>
  </r>
  <r>
    <x v="0"/>
    <x v="5"/>
    <x v="5"/>
    <x v="8"/>
    <x v="8"/>
    <x v="8"/>
    <x v="8"/>
    <x v="89"/>
    <x v="87"/>
    <x v="63"/>
    <x v="97"/>
    <x v="43"/>
    <x v="89"/>
    <x v="0"/>
  </r>
  <r>
    <x v="0"/>
    <x v="5"/>
    <x v="5"/>
    <x v="24"/>
    <x v="24"/>
    <x v="24"/>
    <x v="9"/>
    <x v="90"/>
    <x v="9"/>
    <x v="87"/>
    <x v="98"/>
    <x v="43"/>
    <x v="89"/>
    <x v="0"/>
  </r>
  <r>
    <x v="0"/>
    <x v="5"/>
    <x v="5"/>
    <x v="22"/>
    <x v="22"/>
    <x v="22"/>
    <x v="10"/>
    <x v="49"/>
    <x v="88"/>
    <x v="88"/>
    <x v="99"/>
    <x v="83"/>
    <x v="90"/>
    <x v="0"/>
  </r>
  <r>
    <x v="0"/>
    <x v="5"/>
    <x v="5"/>
    <x v="7"/>
    <x v="7"/>
    <x v="7"/>
    <x v="11"/>
    <x v="51"/>
    <x v="47"/>
    <x v="89"/>
    <x v="100"/>
    <x v="84"/>
    <x v="91"/>
    <x v="0"/>
  </r>
  <r>
    <x v="0"/>
    <x v="5"/>
    <x v="5"/>
    <x v="34"/>
    <x v="34"/>
    <x v="34"/>
    <x v="12"/>
    <x v="80"/>
    <x v="89"/>
    <x v="64"/>
    <x v="101"/>
    <x v="67"/>
    <x v="92"/>
    <x v="0"/>
  </r>
  <r>
    <x v="0"/>
    <x v="5"/>
    <x v="5"/>
    <x v="35"/>
    <x v="35"/>
    <x v="35"/>
    <x v="13"/>
    <x v="54"/>
    <x v="90"/>
    <x v="90"/>
    <x v="102"/>
    <x v="45"/>
    <x v="93"/>
    <x v="0"/>
  </r>
  <r>
    <x v="0"/>
    <x v="5"/>
    <x v="5"/>
    <x v="30"/>
    <x v="30"/>
    <x v="30"/>
    <x v="14"/>
    <x v="91"/>
    <x v="91"/>
    <x v="91"/>
    <x v="103"/>
    <x v="72"/>
    <x v="94"/>
    <x v="0"/>
  </r>
  <r>
    <x v="0"/>
    <x v="5"/>
    <x v="5"/>
    <x v="14"/>
    <x v="14"/>
    <x v="14"/>
    <x v="15"/>
    <x v="65"/>
    <x v="52"/>
    <x v="69"/>
    <x v="13"/>
    <x v="85"/>
    <x v="95"/>
    <x v="0"/>
  </r>
  <r>
    <x v="0"/>
    <x v="5"/>
    <x v="5"/>
    <x v="36"/>
    <x v="36"/>
    <x v="36"/>
    <x v="16"/>
    <x v="66"/>
    <x v="92"/>
    <x v="67"/>
    <x v="104"/>
    <x v="63"/>
    <x v="96"/>
    <x v="0"/>
  </r>
  <r>
    <x v="0"/>
    <x v="5"/>
    <x v="5"/>
    <x v="23"/>
    <x v="23"/>
    <x v="23"/>
    <x v="17"/>
    <x v="92"/>
    <x v="79"/>
    <x v="39"/>
    <x v="105"/>
    <x v="72"/>
    <x v="94"/>
    <x v="0"/>
  </r>
  <r>
    <x v="0"/>
    <x v="5"/>
    <x v="5"/>
    <x v="4"/>
    <x v="4"/>
    <x v="4"/>
    <x v="18"/>
    <x v="69"/>
    <x v="93"/>
    <x v="92"/>
    <x v="106"/>
    <x v="64"/>
    <x v="71"/>
    <x v="3"/>
  </r>
  <r>
    <x v="0"/>
    <x v="5"/>
    <x v="5"/>
    <x v="17"/>
    <x v="17"/>
    <x v="17"/>
    <x v="19"/>
    <x v="93"/>
    <x v="94"/>
    <x v="93"/>
    <x v="107"/>
    <x v="36"/>
    <x v="97"/>
    <x v="0"/>
  </r>
  <r>
    <x v="0"/>
    <x v="5"/>
    <x v="5"/>
    <x v="19"/>
    <x v="19"/>
    <x v="19"/>
    <x v="19"/>
    <x v="93"/>
    <x v="94"/>
    <x v="52"/>
    <x v="108"/>
    <x v="55"/>
    <x v="98"/>
    <x v="0"/>
  </r>
  <r>
    <x v="0"/>
    <x v="6"/>
    <x v="6"/>
    <x v="1"/>
    <x v="1"/>
    <x v="1"/>
    <x v="0"/>
    <x v="94"/>
    <x v="95"/>
    <x v="34"/>
    <x v="109"/>
    <x v="86"/>
    <x v="99"/>
    <x v="0"/>
  </r>
  <r>
    <x v="0"/>
    <x v="6"/>
    <x v="6"/>
    <x v="0"/>
    <x v="0"/>
    <x v="0"/>
    <x v="1"/>
    <x v="95"/>
    <x v="1"/>
    <x v="58"/>
    <x v="110"/>
    <x v="45"/>
    <x v="100"/>
    <x v="0"/>
  </r>
  <r>
    <x v="0"/>
    <x v="6"/>
    <x v="6"/>
    <x v="2"/>
    <x v="2"/>
    <x v="2"/>
    <x v="2"/>
    <x v="96"/>
    <x v="96"/>
    <x v="94"/>
    <x v="111"/>
    <x v="74"/>
    <x v="101"/>
    <x v="0"/>
  </r>
  <r>
    <x v="0"/>
    <x v="6"/>
    <x v="6"/>
    <x v="3"/>
    <x v="3"/>
    <x v="3"/>
    <x v="3"/>
    <x v="64"/>
    <x v="97"/>
    <x v="60"/>
    <x v="112"/>
    <x v="45"/>
    <x v="100"/>
    <x v="0"/>
  </r>
  <r>
    <x v="0"/>
    <x v="6"/>
    <x v="6"/>
    <x v="6"/>
    <x v="6"/>
    <x v="6"/>
    <x v="4"/>
    <x v="51"/>
    <x v="98"/>
    <x v="45"/>
    <x v="113"/>
    <x v="61"/>
    <x v="42"/>
    <x v="0"/>
  </r>
  <r>
    <x v="0"/>
    <x v="6"/>
    <x v="6"/>
    <x v="5"/>
    <x v="5"/>
    <x v="5"/>
    <x v="4"/>
    <x v="51"/>
    <x v="98"/>
    <x v="60"/>
    <x v="112"/>
    <x v="83"/>
    <x v="75"/>
    <x v="0"/>
  </r>
  <r>
    <x v="0"/>
    <x v="6"/>
    <x v="6"/>
    <x v="4"/>
    <x v="4"/>
    <x v="4"/>
    <x v="6"/>
    <x v="97"/>
    <x v="61"/>
    <x v="95"/>
    <x v="114"/>
    <x v="87"/>
    <x v="78"/>
    <x v="7"/>
  </r>
  <r>
    <x v="0"/>
    <x v="6"/>
    <x v="6"/>
    <x v="7"/>
    <x v="7"/>
    <x v="7"/>
    <x v="7"/>
    <x v="79"/>
    <x v="63"/>
    <x v="84"/>
    <x v="115"/>
    <x v="83"/>
    <x v="75"/>
    <x v="0"/>
  </r>
  <r>
    <x v="0"/>
    <x v="6"/>
    <x v="6"/>
    <x v="14"/>
    <x v="14"/>
    <x v="14"/>
    <x v="8"/>
    <x v="98"/>
    <x v="44"/>
    <x v="96"/>
    <x v="116"/>
    <x v="80"/>
    <x v="102"/>
    <x v="0"/>
  </r>
  <r>
    <x v="0"/>
    <x v="6"/>
    <x v="6"/>
    <x v="13"/>
    <x v="13"/>
    <x v="13"/>
    <x v="9"/>
    <x v="65"/>
    <x v="99"/>
    <x v="67"/>
    <x v="117"/>
    <x v="66"/>
    <x v="51"/>
    <x v="0"/>
  </r>
  <r>
    <x v="0"/>
    <x v="6"/>
    <x v="6"/>
    <x v="12"/>
    <x v="12"/>
    <x v="12"/>
    <x v="9"/>
    <x v="65"/>
    <x v="99"/>
    <x v="97"/>
    <x v="118"/>
    <x v="88"/>
    <x v="103"/>
    <x v="0"/>
  </r>
  <r>
    <x v="0"/>
    <x v="6"/>
    <x v="6"/>
    <x v="29"/>
    <x v="29"/>
    <x v="29"/>
    <x v="11"/>
    <x v="99"/>
    <x v="51"/>
    <x v="54"/>
    <x v="119"/>
    <x v="89"/>
    <x v="104"/>
    <x v="0"/>
  </r>
  <r>
    <x v="0"/>
    <x v="6"/>
    <x v="6"/>
    <x v="17"/>
    <x v="17"/>
    <x v="17"/>
    <x v="11"/>
    <x v="99"/>
    <x v="51"/>
    <x v="69"/>
    <x v="120"/>
    <x v="55"/>
    <x v="105"/>
    <x v="0"/>
  </r>
  <r>
    <x v="0"/>
    <x v="6"/>
    <x v="6"/>
    <x v="19"/>
    <x v="19"/>
    <x v="19"/>
    <x v="11"/>
    <x v="99"/>
    <x v="51"/>
    <x v="98"/>
    <x v="52"/>
    <x v="66"/>
    <x v="51"/>
    <x v="0"/>
  </r>
  <r>
    <x v="0"/>
    <x v="6"/>
    <x v="6"/>
    <x v="24"/>
    <x v="24"/>
    <x v="24"/>
    <x v="11"/>
    <x v="99"/>
    <x v="51"/>
    <x v="48"/>
    <x v="121"/>
    <x v="48"/>
    <x v="27"/>
    <x v="0"/>
  </r>
  <r>
    <x v="0"/>
    <x v="6"/>
    <x v="6"/>
    <x v="37"/>
    <x v="37"/>
    <x v="37"/>
    <x v="15"/>
    <x v="100"/>
    <x v="15"/>
    <x v="69"/>
    <x v="120"/>
    <x v="66"/>
    <x v="51"/>
    <x v="0"/>
  </r>
  <r>
    <x v="0"/>
    <x v="6"/>
    <x v="6"/>
    <x v="23"/>
    <x v="23"/>
    <x v="23"/>
    <x v="15"/>
    <x v="100"/>
    <x v="15"/>
    <x v="48"/>
    <x v="121"/>
    <x v="45"/>
    <x v="100"/>
    <x v="0"/>
  </r>
  <r>
    <x v="0"/>
    <x v="6"/>
    <x v="6"/>
    <x v="15"/>
    <x v="15"/>
    <x v="15"/>
    <x v="17"/>
    <x v="101"/>
    <x v="100"/>
    <x v="99"/>
    <x v="122"/>
    <x v="44"/>
    <x v="15"/>
    <x v="0"/>
  </r>
  <r>
    <x v="0"/>
    <x v="6"/>
    <x v="6"/>
    <x v="8"/>
    <x v="8"/>
    <x v="8"/>
    <x v="17"/>
    <x v="101"/>
    <x v="100"/>
    <x v="100"/>
    <x v="123"/>
    <x v="48"/>
    <x v="27"/>
    <x v="0"/>
  </r>
  <r>
    <x v="0"/>
    <x v="6"/>
    <x v="6"/>
    <x v="20"/>
    <x v="20"/>
    <x v="20"/>
    <x v="17"/>
    <x v="101"/>
    <x v="100"/>
    <x v="99"/>
    <x v="122"/>
    <x v="57"/>
    <x v="106"/>
    <x v="0"/>
  </r>
  <r>
    <x v="0"/>
    <x v="7"/>
    <x v="7"/>
    <x v="0"/>
    <x v="0"/>
    <x v="0"/>
    <x v="0"/>
    <x v="102"/>
    <x v="101"/>
    <x v="101"/>
    <x v="124"/>
    <x v="58"/>
    <x v="13"/>
    <x v="0"/>
  </r>
  <r>
    <x v="0"/>
    <x v="7"/>
    <x v="7"/>
    <x v="1"/>
    <x v="1"/>
    <x v="1"/>
    <x v="1"/>
    <x v="72"/>
    <x v="102"/>
    <x v="102"/>
    <x v="8"/>
    <x v="24"/>
    <x v="107"/>
    <x v="0"/>
  </r>
  <r>
    <x v="0"/>
    <x v="7"/>
    <x v="7"/>
    <x v="4"/>
    <x v="4"/>
    <x v="4"/>
    <x v="2"/>
    <x v="59"/>
    <x v="103"/>
    <x v="76"/>
    <x v="125"/>
    <x v="43"/>
    <x v="61"/>
    <x v="7"/>
  </r>
  <r>
    <x v="0"/>
    <x v="7"/>
    <x v="7"/>
    <x v="6"/>
    <x v="6"/>
    <x v="6"/>
    <x v="3"/>
    <x v="103"/>
    <x v="104"/>
    <x v="58"/>
    <x v="126"/>
    <x v="76"/>
    <x v="77"/>
    <x v="0"/>
  </r>
  <r>
    <x v="0"/>
    <x v="7"/>
    <x v="7"/>
    <x v="2"/>
    <x v="2"/>
    <x v="2"/>
    <x v="4"/>
    <x v="104"/>
    <x v="105"/>
    <x v="94"/>
    <x v="127"/>
    <x v="76"/>
    <x v="77"/>
    <x v="0"/>
  </r>
  <r>
    <x v="0"/>
    <x v="7"/>
    <x v="7"/>
    <x v="5"/>
    <x v="5"/>
    <x v="5"/>
    <x v="5"/>
    <x v="105"/>
    <x v="106"/>
    <x v="103"/>
    <x v="128"/>
    <x v="58"/>
    <x v="13"/>
    <x v="0"/>
  </r>
  <r>
    <x v="0"/>
    <x v="7"/>
    <x v="7"/>
    <x v="14"/>
    <x v="14"/>
    <x v="14"/>
    <x v="6"/>
    <x v="106"/>
    <x v="7"/>
    <x v="93"/>
    <x v="129"/>
    <x v="90"/>
    <x v="108"/>
    <x v="0"/>
  </r>
  <r>
    <x v="0"/>
    <x v="7"/>
    <x v="7"/>
    <x v="18"/>
    <x v="18"/>
    <x v="18"/>
    <x v="6"/>
    <x v="106"/>
    <x v="7"/>
    <x v="104"/>
    <x v="130"/>
    <x v="43"/>
    <x v="61"/>
    <x v="0"/>
  </r>
  <r>
    <x v="0"/>
    <x v="7"/>
    <x v="7"/>
    <x v="12"/>
    <x v="12"/>
    <x v="12"/>
    <x v="8"/>
    <x v="80"/>
    <x v="107"/>
    <x v="53"/>
    <x v="131"/>
    <x v="90"/>
    <x v="108"/>
    <x v="0"/>
  </r>
  <r>
    <x v="0"/>
    <x v="7"/>
    <x v="7"/>
    <x v="3"/>
    <x v="3"/>
    <x v="3"/>
    <x v="8"/>
    <x v="80"/>
    <x v="107"/>
    <x v="105"/>
    <x v="132"/>
    <x v="59"/>
    <x v="42"/>
    <x v="0"/>
  </r>
  <r>
    <x v="0"/>
    <x v="7"/>
    <x v="7"/>
    <x v="7"/>
    <x v="7"/>
    <x v="7"/>
    <x v="10"/>
    <x v="91"/>
    <x v="108"/>
    <x v="105"/>
    <x v="132"/>
    <x v="74"/>
    <x v="109"/>
    <x v="0"/>
  </r>
  <r>
    <x v="0"/>
    <x v="7"/>
    <x v="7"/>
    <x v="15"/>
    <x v="15"/>
    <x v="15"/>
    <x v="11"/>
    <x v="55"/>
    <x v="109"/>
    <x v="100"/>
    <x v="90"/>
    <x v="70"/>
    <x v="110"/>
    <x v="0"/>
  </r>
  <r>
    <x v="0"/>
    <x v="7"/>
    <x v="7"/>
    <x v="24"/>
    <x v="24"/>
    <x v="24"/>
    <x v="11"/>
    <x v="55"/>
    <x v="109"/>
    <x v="106"/>
    <x v="133"/>
    <x v="60"/>
    <x v="82"/>
    <x v="0"/>
  </r>
  <r>
    <x v="0"/>
    <x v="7"/>
    <x v="7"/>
    <x v="8"/>
    <x v="8"/>
    <x v="8"/>
    <x v="13"/>
    <x v="81"/>
    <x v="110"/>
    <x v="34"/>
    <x v="81"/>
    <x v="44"/>
    <x v="111"/>
    <x v="0"/>
  </r>
  <r>
    <x v="0"/>
    <x v="7"/>
    <x v="7"/>
    <x v="21"/>
    <x v="21"/>
    <x v="21"/>
    <x v="14"/>
    <x v="107"/>
    <x v="111"/>
    <x v="107"/>
    <x v="134"/>
    <x v="49"/>
    <x v="112"/>
    <x v="3"/>
  </r>
  <r>
    <x v="0"/>
    <x v="7"/>
    <x v="7"/>
    <x v="10"/>
    <x v="10"/>
    <x v="10"/>
    <x v="15"/>
    <x v="67"/>
    <x v="76"/>
    <x v="97"/>
    <x v="135"/>
    <x v="85"/>
    <x v="113"/>
    <x v="0"/>
  </r>
  <r>
    <x v="0"/>
    <x v="7"/>
    <x v="7"/>
    <x v="28"/>
    <x v="28"/>
    <x v="28"/>
    <x v="15"/>
    <x v="67"/>
    <x v="76"/>
    <x v="82"/>
    <x v="136"/>
    <x v="48"/>
    <x v="114"/>
    <x v="0"/>
  </r>
  <r>
    <x v="0"/>
    <x v="7"/>
    <x v="7"/>
    <x v="13"/>
    <x v="13"/>
    <x v="13"/>
    <x v="15"/>
    <x v="67"/>
    <x v="76"/>
    <x v="108"/>
    <x v="137"/>
    <x v="73"/>
    <x v="58"/>
    <x v="0"/>
  </r>
  <r>
    <x v="0"/>
    <x v="7"/>
    <x v="7"/>
    <x v="19"/>
    <x v="19"/>
    <x v="19"/>
    <x v="15"/>
    <x v="67"/>
    <x v="76"/>
    <x v="98"/>
    <x v="138"/>
    <x v="70"/>
    <x v="110"/>
    <x v="0"/>
  </r>
  <r>
    <x v="0"/>
    <x v="7"/>
    <x v="7"/>
    <x v="23"/>
    <x v="23"/>
    <x v="23"/>
    <x v="19"/>
    <x v="92"/>
    <x v="11"/>
    <x v="109"/>
    <x v="105"/>
    <x v="43"/>
    <x v="61"/>
    <x v="0"/>
  </r>
  <r>
    <x v="0"/>
    <x v="8"/>
    <x v="8"/>
    <x v="0"/>
    <x v="0"/>
    <x v="0"/>
    <x v="0"/>
    <x v="108"/>
    <x v="56"/>
    <x v="110"/>
    <x v="139"/>
    <x v="43"/>
    <x v="115"/>
    <x v="0"/>
  </r>
  <r>
    <x v="0"/>
    <x v="8"/>
    <x v="8"/>
    <x v="1"/>
    <x v="1"/>
    <x v="1"/>
    <x v="1"/>
    <x v="43"/>
    <x v="112"/>
    <x v="111"/>
    <x v="140"/>
    <x v="91"/>
    <x v="116"/>
    <x v="0"/>
  </r>
  <r>
    <x v="0"/>
    <x v="8"/>
    <x v="8"/>
    <x v="4"/>
    <x v="4"/>
    <x v="4"/>
    <x v="2"/>
    <x v="109"/>
    <x v="113"/>
    <x v="58"/>
    <x v="141"/>
    <x v="81"/>
    <x v="117"/>
    <x v="7"/>
  </r>
  <r>
    <x v="0"/>
    <x v="8"/>
    <x v="8"/>
    <x v="5"/>
    <x v="5"/>
    <x v="5"/>
    <x v="3"/>
    <x v="47"/>
    <x v="114"/>
    <x v="112"/>
    <x v="41"/>
    <x v="76"/>
    <x v="118"/>
    <x v="0"/>
  </r>
  <r>
    <x v="0"/>
    <x v="8"/>
    <x v="8"/>
    <x v="6"/>
    <x v="6"/>
    <x v="6"/>
    <x v="4"/>
    <x v="62"/>
    <x v="115"/>
    <x v="113"/>
    <x v="142"/>
    <x v="61"/>
    <x v="119"/>
    <x v="0"/>
  </r>
  <r>
    <x v="0"/>
    <x v="8"/>
    <x v="8"/>
    <x v="18"/>
    <x v="18"/>
    <x v="18"/>
    <x v="5"/>
    <x v="89"/>
    <x v="116"/>
    <x v="114"/>
    <x v="143"/>
    <x v="44"/>
    <x v="120"/>
    <x v="0"/>
  </r>
  <r>
    <x v="0"/>
    <x v="8"/>
    <x v="8"/>
    <x v="2"/>
    <x v="2"/>
    <x v="2"/>
    <x v="6"/>
    <x v="110"/>
    <x v="5"/>
    <x v="115"/>
    <x v="144"/>
    <x v="64"/>
    <x v="6"/>
    <x v="0"/>
  </r>
  <r>
    <x v="0"/>
    <x v="8"/>
    <x v="8"/>
    <x v="11"/>
    <x v="11"/>
    <x v="11"/>
    <x v="7"/>
    <x v="111"/>
    <x v="117"/>
    <x v="102"/>
    <x v="145"/>
    <x v="92"/>
    <x v="121"/>
    <x v="0"/>
  </r>
  <r>
    <x v="0"/>
    <x v="8"/>
    <x v="8"/>
    <x v="10"/>
    <x v="10"/>
    <x v="10"/>
    <x v="8"/>
    <x v="106"/>
    <x v="118"/>
    <x v="81"/>
    <x v="146"/>
    <x v="54"/>
    <x v="122"/>
    <x v="0"/>
  </r>
  <r>
    <x v="0"/>
    <x v="8"/>
    <x v="8"/>
    <x v="8"/>
    <x v="8"/>
    <x v="8"/>
    <x v="9"/>
    <x v="79"/>
    <x v="65"/>
    <x v="34"/>
    <x v="147"/>
    <x v="55"/>
    <x v="123"/>
    <x v="0"/>
  </r>
  <r>
    <x v="0"/>
    <x v="8"/>
    <x v="8"/>
    <x v="15"/>
    <x v="15"/>
    <x v="15"/>
    <x v="10"/>
    <x v="80"/>
    <x v="119"/>
    <x v="99"/>
    <x v="148"/>
    <x v="52"/>
    <x v="124"/>
    <x v="0"/>
  </r>
  <r>
    <x v="0"/>
    <x v="8"/>
    <x v="8"/>
    <x v="3"/>
    <x v="3"/>
    <x v="3"/>
    <x v="11"/>
    <x v="66"/>
    <x v="32"/>
    <x v="116"/>
    <x v="149"/>
    <x v="59"/>
    <x v="125"/>
    <x v="0"/>
  </r>
  <r>
    <x v="0"/>
    <x v="8"/>
    <x v="8"/>
    <x v="37"/>
    <x v="37"/>
    <x v="37"/>
    <x v="12"/>
    <x v="83"/>
    <x v="89"/>
    <x v="62"/>
    <x v="150"/>
    <x v="93"/>
    <x v="34"/>
    <x v="0"/>
  </r>
  <r>
    <x v="0"/>
    <x v="8"/>
    <x v="8"/>
    <x v="12"/>
    <x v="12"/>
    <x v="12"/>
    <x v="12"/>
    <x v="83"/>
    <x v="89"/>
    <x v="50"/>
    <x v="151"/>
    <x v="80"/>
    <x v="126"/>
    <x v="0"/>
  </r>
  <r>
    <x v="0"/>
    <x v="8"/>
    <x v="8"/>
    <x v="21"/>
    <x v="21"/>
    <x v="21"/>
    <x v="12"/>
    <x v="83"/>
    <x v="89"/>
    <x v="50"/>
    <x v="151"/>
    <x v="80"/>
    <x v="126"/>
    <x v="0"/>
  </r>
  <r>
    <x v="0"/>
    <x v="8"/>
    <x v="8"/>
    <x v="29"/>
    <x v="29"/>
    <x v="29"/>
    <x v="15"/>
    <x v="69"/>
    <x v="51"/>
    <x v="47"/>
    <x v="152"/>
    <x v="94"/>
    <x v="16"/>
    <x v="0"/>
  </r>
  <r>
    <x v="0"/>
    <x v="8"/>
    <x v="8"/>
    <x v="16"/>
    <x v="16"/>
    <x v="16"/>
    <x v="16"/>
    <x v="112"/>
    <x v="34"/>
    <x v="97"/>
    <x v="153"/>
    <x v="69"/>
    <x v="127"/>
    <x v="0"/>
  </r>
  <r>
    <x v="0"/>
    <x v="8"/>
    <x v="8"/>
    <x v="7"/>
    <x v="7"/>
    <x v="7"/>
    <x v="16"/>
    <x v="112"/>
    <x v="34"/>
    <x v="34"/>
    <x v="147"/>
    <x v="74"/>
    <x v="128"/>
    <x v="0"/>
  </r>
  <r>
    <x v="0"/>
    <x v="8"/>
    <x v="8"/>
    <x v="28"/>
    <x v="28"/>
    <x v="28"/>
    <x v="18"/>
    <x v="113"/>
    <x v="17"/>
    <x v="46"/>
    <x v="154"/>
    <x v="95"/>
    <x v="129"/>
    <x v="0"/>
  </r>
  <r>
    <x v="0"/>
    <x v="8"/>
    <x v="8"/>
    <x v="13"/>
    <x v="13"/>
    <x v="13"/>
    <x v="18"/>
    <x v="113"/>
    <x v="17"/>
    <x v="46"/>
    <x v="154"/>
    <x v="95"/>
    <x v="129"/>
    <x v="0"/>
  </r>
  <r>
    <x v="0"/>
    <x v="9"/>
    <x v="9"/>
    <x v="9"/>
    <x v="9"/>
    <x v="9"/>
    <x v="0"/>
    <x v="114"/>
    <x v="120"/>
    <x v="117"/>
    <x v="155"/>
    <x v="52"/>
    <x v="130"/>
    <x v="0"/>
  </r>
  <r>
    <x v="0"/>
    <x v="9"/>
    <x v="9"/>
    <x v="3"/>
    <x v="3"/>
    <x v="3"/>
    <x v="1"/>
    <x v="115"/>
    <x v="121"/>
    <x v="118"/>
    <x v="156"/>
    <x v="96"/>
    <x v="131"/>
    <x v="0"/>
  </r>
  <r>
    <x v="0"/>
    <x v="9"/>
    <x v="9"/>
    <x v="1"/>
    <x v="1"/>
    <x v="1"/>
    <x v="2"/>
    <x v="116"/>
    <x v="122"/>
    <x v="119"/>
    <x v="157"/>
    <x v="97"/>
    <x v="132"/>
    <x v="0"/>
  </r>
  <r>
    <x v="0"/>
    <x v="9"/>
    <x v="9"/>
    <x v="7"/>
    <x v="7"/>
    <x v="7"/>
    <x v="3"/>
    <x v="117"/>
    <x v="123"/>
    <x v="120"/>
    <x v="158"/>
    <x v="42"/>
    <x v="133"/>
    <x v="0"/>
  </r>
  <r>
    <x v="0"/>
    <x v="9"/>
    <x v="9"/>
    <x v="8"/>
    <x v="8"/>
    <x v="8"/>
    <x v="4"/>
    <x v="118"/>
    <x v="124"/>
    <x v="121"/>
    <x v="159"/>
    <x v="98"/>
    <x v="134"/>
    <x v="7"/>
  </r>
  <r>
    <x v="0"/>
    <x v="9"/>
    <x v="9"/>
    <x v="0"/>
    <x v="0"/>
    <x v="0"/>
    <x v="5"/>
    <x v="119"/>
    <x v="3"/>
    <x v="38"/>
    <x v="160"/>
    <x v="99"/>
    <x v="135"/>
    <x v="0"/>
  </r>
  <r>
    <x v="0"/>
    <x v="9"/>
    <x v="9"/>
    <x v="15"/>
    <x v="15"/>
    <x v="15"/>
    <x v="6"/>
    <x v="120"/>
    <x v="61"/>
    <x v="30"/>
    <x v="161"/>
    <x v="100"/>
    <x v="136"/>
    <x v="0"/>
  </r>
  <r>
    <x v="0"/>
    <x v="9"/>
    <x v="9"/>
    <x v="12"/>
    <x v="12"/>
    <x v="12"/>
    <x v="7"/>
    <x v="121"/>
    <x v="63"/>
    <x v="39"/>
    <x v="162"/>
    <x v="101"/>
    <x v="137"/>
    <x v="0"/>
  </r>
  <r>
    <x v="0"/>
    <x v="9"/>
    <x v="9"/>
    <x v="38"/>
    <x v="38"/>
    <x v="38"/>
    <x v="8"/>
    <x v="122"/>
    <x v="125"/>
    <x v="122"/>
    <x v="163"/>
    <x v="57"/>
    <x v="138"/>
    <x v="0"/>
  </r>
  <r>
    <x v="0"/>
    <x v="9"/>
    <x v="9"/>
    <x v="2"/>
    <x v="2"/>
    <x v="2"/>
    <x v="9"/>
    <x v="123"/>
    <x v="44"/>
    <x v="123"/>
    <x v="164"/>
    <x v="52"/>
    <x v="130"/>
    <x v="0"/>
  </r>
  <r>
    <x v="0"/>
    <x v="9"/>
    <x v="9"/>
    <x v="39"/>
    <x v="39"/>
    <x v="39"/>
    <x v="10"/>
    <x v="124"/>
    <x v="126"/>
    <x v="37"/>
    <x v="165"/>
    <x v="45"/>
    <x v="139"/>
    <x v="0"/>
  </r>
  <r>
    <x v="0"/>
    <x v="9"/>
    <x v="9"/>
    <x v="20"/>
    <x v="20"/>
    <x v="20"/>
    <x v="11"/>
    <x v="125"/>
    <x v="46"/>
    <x v="78"/>
    <x v="166"/>
    <x v="102"/>
    <x v="140"/>
    <x v="0"/>
  </r>
  <r>
    <x v="0"/>
    <x v="9"/>
    <x v="9"/>
    <x v="5"/>
    <x v="5"/>
    <x v="5"/>
    <x v="12"/>
    <x v="41"/>
    <x v="127"/>
    <x v="124"/>
    <x v="167"/>
    <x v="36"/>
    <x v="42"/>
    <x v="7"/>
  </r>
  <r>
    <x v="0"/>
    <x v="9"/>
    <x v="9"/>
    <x v="14"/>
    <x v="14"/>
    <x v="14"/>
    <x v="13"/>
    <x v="126"/>
    <x v="47"/>
    <x v="125"/>
    <x v="152"/>
    <x v="103"/>
    <x v="141"/>
    <x v="0"/>
  </r>
  <r>
    <x v="0"/>
    <x v="9"/>
    <x v="9"/>
    <x v="4"/>
    <x v="4"/>
    <x v="4"/>
    <x v="14"/>
    <x v="56"/>
    <x v="128"/>
    <x v="74"/>
    <x v="168"/>
    <x v="46"/>
    <x v="120"/>
    <x v="7"/>
  </r>
  <r>
    <x v="0"/>
    <x v="9"/>
    <x v="9"/>
    <x v="40"/>
    <x v="40"/>
    <x v="40"/>
    <x v="15"/>
    <x v="127"/>
    <x v="33"/>
    <x v="89"/>
    <x v="169"/>
    <x v="104"/>
    <x v="142"/>
    <x v="0"/>
  </r>
  <r>
    <x v="0"/>
    <x v="9"/>
    <x v="9"/>
    <x v="41"/>
    <x v="41"/>
    <x v="41"/>
    <x v="16"/>
    <x v="128"/>
    <x v="129"/>
    <x v="125"/>
    <x v="152"/>
    <x v="105"/>
    <x v="83"/>
    <x v="0"/>
  </r>
  <r>
    <x v="0"/>
    <x v="9"/>
    <x v="9"/>
    <x v="25"/>
    <x v="25"/>
    <x v="25"/>
    <x v="17"/>
    <x v="129"/>
    <x v="15"/>
    <x v="99"/>
    <x v="131"/>
    <x v="56"/>
    <x v="143"/>
    <x v="1"/>
  </r>
  <r>
    <x v="0"/>
    <x v="9"/>
    <x v="9"/>
    <x v="27"/>
    <x v="27"/>
    <x v="27"/>
    <x v="18"/>
    <x v="130"/>
    <x v="16"/>
    <x v="93"/>
    <x v="68"/>
    <x v="96"/>
    <x v="131"/>
    <x v="5"/>
  </r>
  <r>
    <x v="0"/>
    <x v="9"/>
    <x v="9"/>
    <x v="21"/>
    <x v="21"/>
    <x v="21"/>
    <x v="19"/>
    <x v="131"/>
    <x v="130"/>
    <x v="69"/>
    <x v="170"/>
    <x v="106"/>
    <x v="144"/>
    <x v="5"/>
  </r>
  <r>
    <x v="0"/>
    <x v="10"/>
    <x v="10"/>
    <x v="1"/>
    <x v="1"/>
    <x v="1"/>
    <x v="0"/>
    <x v="132"/>
    <x v="131"/>
    <x v="45"/>
    <x v="45"/>
    <x v="107"/>
    <x v="145"/>
    <x v="0"/>
  </r>
  <r>
    <x v="0"/>
    <x v="10"/>
    <x v="10"/>
    <x v="0"/>
    <x v="0"/>
    <x v="0"/>
    <x v="1"/>
    <x v="44"/>
    <x v="85"/>
    <x v="85"/>
    <x v="171"/>
    <x v="77"/>
    <x v="24"/>
    <x v="0"/>
  </r>
  <r>
    <x v="0"/>
    <x v="10"/>
    <x v="10"/>
    <x v="11"/>
    <x v="11"/>
    <x v="11"/>
    <x v="2"/>
    <x v="133"/>
    <x v="132"/>
    <x v="95"/>
    <x v="172"/>
    <x v="52"/>
    <x v="146"/>
    <x v="0"/>
  </r>
  <r>
    <x v="0"/>
    <x v="10"/>
    <x v="10"/>
    <x v="12"/>
    <x v="12"/>
    <x v="12"/>
    <x v="3"/>
    <x v="47"/>
    <x v="133"/>
    <x v="69"/>
    <x v="18"/>
    <x v="108"/>
    <x v="147"/>
    <x v="0"/>
  </r>
  <r>
    <x v="0"/>
    <x v="10"/>
    <x v="10"/>
    <x v="42"/>
    <x v="42"/>
    <x v="42"/>
    <x v="4"/>
    <x v="96"/>
    <x v="134"/>
    <x v="78"/>
    <x v="160"/>
    <x v="41"/>
    <x v="115"/>
    <x v="0"/>
  </r>
  <r>
    <x v="0"/>
    <x v="10"/>
    <x v="10"/>
    <x v="4"/>
    <x v="4"/>
    <x v="4"/>
    <x v="5"/>
    <x v="105"/>
    <x v="26"/>
    <x v="126"/>
    <x v="173"/>
    <x v="73"/>
    <x v="148"/>
    <x v="0"/>
  </r>
  <r>
    <x v="0"/>
    <x v="10"/>
    <x v="10"/>
    <x v="10"/>
    <x v="10"/>
    <x v="10"/>
    <x v="6"/>
    <x v="62"/>
    <x v="135"/>
    <x v="69"/>
    <x v="18"/>
    <x v="46"/>
    <x v="149"/>
    <x v="0"/>
  </r>
  <r>
    <x v="0"/>
    <x v="10"/>
    <x v="10"/>
    <x v="16"/>
    <x v="16"/>
    <x v="16"/>
    <x v="7"/>
    <x v="134"/>
    <x v="9"/>
    <x v="47"/>
    <x v="135"/>
    <x v="109"/>
    <x v="136"/>
    <x v="0"/>
  </r>
  <r>
    <x v="0"/>
    <x v="10"/>
    <x v="10"/>
    <x v="6"/>
    <x v="6"/>
    <x v="6"/>
    <x v="8"/>
    <x v="135"/>
    <x v="75"/>
    <x v="127"/>
    <x v="174"/>
    <x v="72"/>
    <x v="150"/>
    <x v="0"/>
  </r>
  <r>
    <x v="0"/>
    <x v="10"/>
    <x v="10"/>
    <x v="37"/>
    <x v="37"/>
    <x v="37"/>
    <x v="9"/>
    <x v="52"/>
    <x v="136"/>
    <x v="96"/>
    <x v="175"/>
    <x v="54"/>
    <x v="151"/>
    <x v="0"/>
  </r>
  <r>
    <x v="0"/>
    <x v="10"/>
    <x v="10"/>
    <x v="21"/>
    <x v="21"/>
    <x v="21"/>
    <x v="10"/>
    <x v="53"/>
    <x v="137"/>
    <x v="51"/>
    <x v="176"/>
    <x v="110"/>
    <x v="152"/>
    <x v="0"/>
  </r>
  <r>
    <x v="0"/>
    <x v="10"/>
    <x v="10"/>
    <x v="5"/>
    <x v="5"/>
    <x v="5"/>
    <x v="10"/>
    <x v="53"/>
    <x v="137"/>
    <x v="87"/>
    <x v="177"/>
    <x v="76"/>
    <x v="119"/>
    <x v="0"/>
  </r>
  <r>
    <x v="0"/>
    <x v="10"/>
    <x v="10"/>
    <x v="29"/>
    <x v="29"/>
    <x v="29"/>
    <x v="12"/>
    <x v="80"/>
    <x v="32"/>
    <x v="62"/>
    <x v="178"/>
    <x v="54"/>
    <x v="151"/>
    <x v="0"/>
  </r>
  <r>
    <x v="0"/>
    <x v="10"/>
    <x v="10"/>
    <x v="17"/>
    <x v="17"/>
    <x v="17"/>
    <x v="13"/>
    <x v="55"/>
    <x v="11"/>
    <x v="93"/>
    <x v="179"/>
    <x v="88"/>
    <x v="153"/>
    <x v="0"/>
  </r>
  <r>
    <x v="0"/>
    <x v="10"/>
    <x v="10"/>
    <x v="8"/>
    <x v="8"/>
    <x v="8"/>
    <x v="14"/>
    <x v="81"/>
    <x v="91"/>
    <x v="82"/>
    <x v="157"/>
    <x v="73"/>
    <x v="148"/>
    <x v="0"/>
  </r>
  <r>
    <x v="0"/>
    <x v="10"/>
    <x v="10"/>
    <x v="18"/>
    <x v="18"/>
    <x v="18"/>
    <x v="15"/>
    <x v="65"/>
    <x v="138"/>
    <x v="111"/>
    <x v="180"/>
    <x v="95"/>
    <x v="21"/>
    <x v="0"/>
  </r>
  <r>
    <x v="0"/>
    <x v="10"/>
    <x v="10"/>
    <x v="43"/>
    <x v="43"/>
    <x v="43"/>
    <x v="16"/>
    <x v="66"/>
    <x v="51"/>
    <x v="52"/>
    <x v="90"/>
    <x v="69"/>
    <x v="36"/>
    <x v="0"/>
  </r>
  <r>
    <x v="0"/>
    <x v="10"/>
    <x v="10"/>
    <x v="2"/>
    <x v="2"/>
    <x v="2"/>
    <x v="17"/>
    <x v="107"/>
    <x v="14"/>
    <x v="80"/>
    <x v="181"/>
    <x v="64"/>
    <x v="154"/>
    <x v="0"/>
  </r>
  <r>
    <x v="0"/>
    <x v="10"/>
    <x v="10"/>
    <x v="3"/>
    <x v="3"/>
    <x v="3"/>
    <x v="18"/>
    <x v="92"/>
    <x v="53"/>
    <x v="82"/>
    <x v="157"/>
    <x v="45"/>
    <x v="155"/>
    <x v="0"/>
  </r>
  <r>
    <x v="0"/>
    <x v="10"/>
    <x v="10"/>
    <x v="20"/>
    <x v="20"/>
    <x v="20"/>
    <x v="19"/>
    <x v="112"/>
    <x v="36"/>
    <x v="69"/>
    <x v="18"/>
    <x v="92"/>
    <x v="22"/>
    <x v="0"/>
  </r>
  <r>
    <x v="0"/>
    <x v="11"/>
    <x v="11"/>
    <x v="0"/>
    <x v="0"/>
    <x v="0"/>
    <x v="0"/>
    <x v="136"/>
    <x v="139"/>
    <x v="128"/>
    <x v="182"/>
    <x v="111"/>
    <x v="47"/>
    <x v="0"/>
  </r>
  <r>
    <x v="0"/>
    <x v="11"/>
    <x v="11"/>
    <x v="1"/>
    <x v="1"/>
    <x v="1"/>
    <x v="1"/>
    <x v="38"/>
    <x v="140"/>
    <x v="129"/>
    <x v="183"/>
    <x v="101"/>
    <x v="156"/>
    <x v="7"/>
  </r>
  <r>
    <x v="0"/>
    <x v="11"/>
    <x v="11"/>
    <x v="2"/>
    <x v="2"/>
    <x v="2"/>
    <x v="2"/>
    <x v="137"/>
    <x v="141"/>
    <x v="130"/>
    <x v="184"/>
    <x v="89"/>
    <x v="150"/>
    <x v="0"/>
  </r>
  <r>
    <x v="0"/>
    <x v="11"/>
    <x v="11"/>
    <x v="10"/>
    <x v="10"/>
    <x v="10"/>
    <x v="3"/>
    <x v="138"/>
    <x v="142"/>
    <x v="126"/>
    <x v="10"/>
    <x v="112"/>
    <x v="157"/>
    <x v="0"/>
  </r>
  <r>
    <x v="0"/>
    <x v="11"/>
    <x v="11"/>
    <x v="9"/>
    <x v="9"/>
    <x v="9"/>
    <x v="4"/>
    <x v="139"/>
    <x v="143"/>
    <x v="131"/>
    <x v="61"/>
    <x v="61"/>
    <x v="158"/>
    <x v="0"/>
  </r>
  <r>
    <x v="0"/>
    <x v="11"/>
    <x v="11"/>
    <x v="4"/>
    <x v="4"/>
    <x v="4"/>
    <x v="4"/>
    <x v="139"/>
    <x v="143"/>
    <x v="132"/>
    <x v="76"/>
    <x v="108"/>
    <x v="159"/>
    <x v="0"/>
  </r>
  <r>
    <x v="0"/>
    <x v="11"/>
    <x v="11"/>
    <x v="6"/>
    <x v="6"/>
    <x v="6"/>
    <x v="6"/>
    <x v="140"/>
    <x v="25"/>
    <x v="133"/>
    <x v="185"/>
    <x v="87"/>
    <x v="160"/>
    <x v="0"/>
  </r>
  <r>
    <x v="0"/>
    <x v="11"/>
    <x v="11"/>
    <x v="3"/>
    <x v="3"/>
    <x v="3"/>
    <x v="7"/>
    <x v="141"/>
    <x v="144"/>
    <x v="134"/>
    <x v="186"/>
    <x v="68"/>
    <x v="161"/>
    <x v="3"/>
  </r>
  <r>
    <x v="0"/>
    <x v="11"/>
    <x v="11"/>
    <x v="8"/>
    <x v="8"/>
    <x v="8"/>
    <x v="8"/>
    <x v="142"/>
    <x v="145"/>
    <x v="135"/>
    <x v="187"/>
    <x v="113"/>
    <x v="162"/>
    <x v="0"/>
  </r>
  <r>
    <x v="0"/>
    <x v="11"/>
    <x v="11"/>
    <x v="5"/>
    <x v="5"/>
    <x v="5"/>
    <x v="9"/>
    <x v="143"/>
    <x v="145"/>
    <x v="136"/>
    <x v="188"/>
    <x v="44"/>
    <x v="138"/>
    <x v="0"/>
  </r>
  <r>
    <x v="0"/>
    <x v="11"/>
    <x v="11"/>
    <x v="7"/>
    <x v="7"/>
    <x v="7"/>
    <x v="10"/>
    <x v="144"/>
    <x v="10"/>
    <x v="137"/>
    <x v="189"/>
    <x v="44"/>
    <x v="138"/>
    <x v="0"/>
  </r>
  <r>
    <x v="0"/>
    <x v="11"/>
    <x v="11"/>
    <x v="11"/>
    <x v="11"/>
    <x v="11"/>
    <x v="11"/>
    <x v="145"/>
    <x v="119"/>
    <x v="138"/>
    <x v="98"/>
    <x v="86"/>
    <x v="163"/>
    <x v="0"/>
  </r>
  <r>
    <x v="0"/>
    <x v="11"/>
    <x v="11"/>
    <x v="18"/>
    <x v="18"/>
    <x v="18"/>
    <x v="12"/>
    <x v="146"/>
    <x v="146"/>
    <x v="139"/>
    <x v="190"/>
    <x v="78"/>
    <x v="164"/>
    <x v="0"/>
  </r>
  <r>
    <x v="0"/>
    <x v="11"/>
    <x v="11"/>
    <x v="12"/>
    <x v="12"/>
    <x v="12"/>
    <x v="13"/>
    <x v="147"/>
    <x v="50"/>
    <x v="67"/>
    <x v="191"/>
    <x v="114"/>
    <x v="165"/>
    <x v="0"/>
  </r>
  <r>
    <x v="0"/>
    <x v="11"/>
    <x v="11"/>
    <x v="16"/>
    <x v="16"/>
    <x v="16"/>
    <x v="14"/>
    <x v="148"/>
    <x v="12"/>
    <x v="34"/>
    <x v="107"/>
    <x v="103"/>
    <x v="166"/>
    <x v="0"/>
  </r>
  <r>
    <x v="0"/>
    <x v="11"/>
    <x v="11"/>
    <x v="15"/>
    <x v="15"/>
    <x v="15"/>
    <x v="15"/>
    <x v="149"/>
    <x v="51"/>
    <x v="140"/>
    <x v="192"/>
    <x v="71"/>
    <x v="167"/>
    <x v="0"/>
  </r>
  <r>
    <x v="0"/>
    <x v="11"/>
    <x v="11"/>
    <x v="17"/>
    <x v="17"/>
    <x v="17"/>
    <x v="16"/>
    <x v="150"/>
    <x v="147"/>
    <x v="114"/>
    <x v="178"/>
    <x v="115"/>
    <x v="168"/>
    <x v="0"/>
  </r>
  <r>
    <x v="0"/>
    <x v="11"/>
    <x v="11"/>
    <x v="42"/>
    <x v="42"/>
    <x v="42"/>
    <x v="17"/>
    <x v="151"/>
    <x v="15"/>
    <x v="141"/>
    <x v="82"/>
    <x v="52"/>
    <x v="169"/>
    <x v="0"/>
  </r>
  <r>
    <x v="0"/>
    <x v="11"/>
    <x v="11"/>
    <x v="20"/>
    <x v="20"/>
    <x v="20"/>
    <x v="18"/>
    <x v="152"/>
    <x v="148"/>
    <x v="61"/>
    <x v="193"/>
    <x v="116"/>
    <x v="170"/>
    <x v="0"/>
  </r>
  <r>
    <x v="0"/>
    <x v="11"/>
    <x v="11"/>
    <x v="14"/>
    <x v="14"/>
    <x v="14"/>
    <x v="19"/>
    <x v="153"/>
    <x v="149"/>
    <x v="142"/>
    <x v="29"/>
    <x v="117"/>
    <x v="171"/>
    <x v="0"/>
  </r>
  <r>
    <x v="0"/>
    <x v="12"/>
    <x v="12"/>
    <x v="1"/>
    <x v="1"/>
    <x v="1"/>
    <x v="0"/>
    <x v="154"/>
    <x v="131"/>
    <x v="143"/>
    <x v="194"/>
    <x v="118"/>
    <x v="172"/>
    <x v="7"/>
  </r>
  <r>
    <x v="0"/>
    <x v="12"/>
    <x v="12"/>
    <x v="0"/>
    <x v="0"/>
    <x v="0"/>
    <x v="1"/>
    <x v="155"/>
    <x v="150"/>
    <x v="144"/>
    <x v="195"/>
    <x v="119"/>
    <x v="39"/>
    <x v="0"/>
  </r>
  <r>
    <x v="0"/>
    <x v="12"/>
    <x v="12"/>
    <x v="7"/>
    <x v="7"/>
    <x v="7"/>
    <x v="2"/>
    <x v="156"/>
    <x v="151"/>
    <x v="145"/>
    <x v="196"/>
    <x v="43"/>
    <x v="68"/>
    <x v="0"/>
  </r>
  <r>
    <x v="0"/>
    <x v="12"/>
    <x v="12"/>
    <x v="2"/>
    <x v="2"/>
    <x v="2"/>
    <x v="3"/>
    <x v="157"/>
    <x v="105"/>
    <x v="146"/>
    <x v="197"/>
    <x v="87"/>
    <x v="23"/>
    <x v="7"/>
  </r>
  <r>
    <x v="0"/>
    <x v="12"/>
    <x v="12"/>
    <x v="5"/>
    <x v="5"/>
    <x v="5"/>
    <x v="4"/>
    <x v="158"/>
    <x v="59"/>
    <x v="147"/>
    <x v="44"/>
    <x v="70"/>
    <x v="161"/>
    <x v="0"/>
  </r>
  <r>
    <x v="0"/>
    <x v="12"/>
    <x v="12"/>
    <x v="6"/>
    <x v="6"/>
    <x v="6"/>
    <x v="5"/>
    <x v="159"/>
    <x v="5"/>
    <x v="148"/>
    <x v="198"/>
    <x v="76"/>
    <x v="173"/>
    <x v="0"/>
  </r>
  <r>
    <x v="0"/>
    <x v="12"/>
    <x v="12"/>
    <x v="3"/>
    <x v="3"/>
    <x v="3"/>
    <x v="6"/>
    <x v="160"/>
    <x v="44"/>
    <x v="37"/>
    <x v="199"/>
    <x v="92"/>
    <x v="118"/>
    <x v="0"/>
  </r>
  <r>
    <x v="0"/>
    <x v="12"/>
    <x v="12"/>
    <x v="9"/>
    <x v="9"/>
    <x v="9"/>
    <x v="7"/>
    <x v="161"/>
    <x v="135"/>
    <x v="149"/>
    <x v="177"/>
    <x v="76"/>
    <x v="173"/>
    <x v="0"/>
  </r>
  <r>
    <x v="0"/>
    <x v="12"/>
    <x v="12"/>
    <x v="4"/>
    <x v="4"/>
    <x v="4"/>
    <x v="8"/>
    <x v="162"/>
    <x v="7"/>
    <x v="150"/>
    <x v="26"/>
    <x v="85"/>
    <x v="85"/>
    <x v="7"/>
  </r>
  <r>
    <x v="0"/>
    <x v="12"/>
    <x v="12"/>
    <x v="8"/>
    <x v="8"/>
    <x v="8"/>
    <x v="9"/>
    <x v="163"/>
    <x v="152"/>
    <x v="151"/>
    <x v="63"/>
    <x v="120"/>
    <x v="174"/>
    <x v="0"/>
  </r>
  <r>
    <x v="0"/>
    <x v="12"/>
    <x v="12"/>
    <x v="21"/>
    <x v="21"/>
    <x v="21"/>
    <x v="10"/>
    <x v="164"/>
    <x v="153"/>
    <x v="99"/>
    <x v="176"/>
    <x v="121"/>
    <x v="175"/>
    <x v="0"/>
  </r>
  <r>
    <x v="0"/>
    <x v="12"/>
    <x v="12"/>
    <x v="37"/>
    <x v="37"/>
    <x v="37"/>
    <x v="11"/>
    <x v="165"/>
    <x v="154"/>
    <x v="108"/>
    <x v="107"/>
    <x v="122"/>
    <x v="176"/>
    <x v="0"/>
  </r>
  <r>
    <x v="0"/>
    <x v="12"/>
    <x v="12"/>
    <x v="13"/>
    <x v="13"/>
    <x v="13"/>
    <x v="12"/>
    <x v="166"/>
    <x v="11"/>
    <x v="152"/>
    <x v="200"/>
    <x v="123"/>
    <x v="13"/>
    <x v="0"/>
  </r>
  <r>
    <x v="0"/>
    <x v="12"/>
    <x v="12"/>
    <x v="17"/>
    <x v="17"/>
    <x v="17"/>
    <x v="13"/>
    <x v="167"/>
    <x v="155"/>
    <x v="67"/>
    <x v="85"/>
    <x v="124"/>
    <x v="80"/>
    <x v="0"/>
  </r>
  <r>
    <x v="0"/>
    <x v="12"/>
    <x v="12"/>
    <x v="14"/>
    <x v="14"/>
    <x v="14"/>
    <x v="14"/>
    <x v="129"/>
    <x v="147"/>
    <x v="39"/>
    <x v="201"/>
    <x v="125"/>
    <x v="81"/>
    <x v="0"/>
  </r>
  <r>
    <x v="0"/>
    <x v="12"/>
    <x v="12"/>
    <x v="10"/>
    <x v="10"/>
    <x v="10"/>
    <x v="15"/>
    <x v="84"/>
    <x v="52"/>
    <x v="153"/>
    <x v="202"/>
    <x v="126"/>
    <x v="177"/>
    <x v="0"/>
  </r>
  <r>
    <x v="0"/>
    <x v="12"/>
    <x v="12"/>
    <x v="16"/>
    <x v="16"/>
    <x v="16"/>
    <x v="16"/>
    <x v="168"/>
    <x v="15"/>
    <x v="154"/>
    <x v="48"/>
    <x v="127"/>
    <x v="152"/>
    <x v="0"/>
  </r>
  <r>
    <x v="0"/>
    <x v="12"/>
    <x v="12"/>
    <x v="22"/>
    <x v="22"/>
    <x v="22"/>
    <x v="17"/>
    <x v="169"/>
    <x v="148"/>
    <x v="155"/>
    <x v="203"/>
    <x v="61"/>
    <x v="178"/>
    <x v="0"/>
  </r>
  <r>
    <x v="0"/>
    <x v="12"/>
    <x v="12"/>
    <x v="11"/>
    <x v="11"/>
    <x v="11"/>
    <x v="18"/>
    <x v="58"/>
    <x v="93"/>
    <x v="75"/>
    <x v="204"/>
    <x v="54"/>
    <x v="148"/>
    <x v="0"/>
  </r>
  <r>
    <x v="0"/>
    <x v="12"/>
    <x v="12"/>
    <x v="12"/>
    <x v="12"/>
    <x v="12"/>
    <x v="19"/>
    <x v="85"/>
    <x v="156"/>
    <x v="96"/>
    <x v="205"/>
    <x v="104"/>
    <x v="143"/>
    <x v="0"/>
  </r>
  <r>
    <x v="0"/>
    <x v="13"/>
    <x v="13"/>
    <x v="0"/>
    <x v="0"/>
    <x v="0"/>
    <x v="0"/>
    <x v="157"/>
    <x v="157"/>
    <x v="156"/>
    <x v="206"/>
    <x v="94"/>
    <x v="54"/>
    <x v="0"/>
  </r>
  <r>
    <x v="0"/>
    <x v="13"/>
    <x v="13"/>
    <x v="4"/>
    <x v="4"/>
    <x v="4"/>
    <x v="1"/>
    <x v="166"/>
    <x v="158"/>
    <x v="157"/>
    <x v="207"/>
    <x v="92"/>
    <x v="179"/>
    <x v="7"/>
  </r>
  <r>
    <x v="0"/>
    <x v="13"/>
    <x v="13"/>
    <x v="1"/>
    <x v="1"/>
    <x v="1"/>
    <x v="2"/>
    <x v="170"/>
    <x v="159"/>
    <x v="125"/>
    <x v="208"/>
    <x v="128"/>
    <x v="180"/>
    <x v="0"/>
  </r>
  <r>
    <x v="0"/>
    <x v="13"/>
    <x v="13"/>
    <x v="2"/>
    <x v="2"/>
    <x v="2"/>
    <x v="3"/>
    <x v="171"/>
    <x v="160"/>
    <x v="33"/>
    <x v="209"/>
    <x v="72"/>
    <x v="101"/>
    <x v="0"/>
  </r>
  <r>
    <x v="0"/>
    <x v="13"/>
    <x v="13"/>
    <x v="6"/>
    <x v="6"/>
    <x v="6"/>
    <x v="3"/>
    <x v="171"/>
    <x v="160"/>
    <x v="158"/>
    <x v="210"/>
    <x v="76"/>
    <x v="181"/>
    <x v="0"/>
  </r>
  <r>
    <x v="0"/>
    <x v="13"/>
    <x v="13"/>
    <x v="5"/>
    <x v="5"/>
    <x v="5"/>
    <x v="5"/>
    <x v="172"/>
    <x v="23"/>
    <x v="159"/>
    <x v="211"/>
    <x v="48"/>
    <x v="182"/>
    <x v="0"/>
  </r>
  <r>
    <x v="0"/>
    <x v="13"/>
    <x v="13"/>
    <x v="7"/>
    <x v="7"/>
    <x v="7"/>
    <x v="6"/>
    <x v="130"/>
    <x v="161"/>
    <x v="110"/>
    <x v="212"/>
    <x v="72"/>
    <x v="101"/>
    <x v="0"/>
  </r>
  <r>
    <x v="0"/>
    <x v="13"/>
    <x v="13"/>
    <x v="8"/>
    <x v="8"/>
    <x v="8"/>
    <x v="7"/>
    <x v="85"/>
    <x v="143"/>
    <x v="29"/>
    <x v="213"/>
    <x v="93"/>
    <x v="72"/>
    <x v="0"/>
  </r>
  <r>
    <x v="0"/>
    <x v="13"/>
    <x v="13"/>
    <x v="3"/>
    <x v="3"/>
    <x v="3"/>
    <x v="8"/>
    <x v="74"/>
    <x v="86"/>
    <x v="30"/>
    <x v="78"/>
    <x v="72"/>
    <x v="101"/>
    <x v="0"/>
  </r>
  <r>
    <x v="0"/>
    <x v="13"/>
    <x v="13"/>
    <x v="9"/>
    <x v="9"/>
    <x v="9"/>
    <x v="9"/>
    <x v="173"/>
    <x v="108"/>
    <x v="160"/>
    <x v="214"/>
    <x v="84"/>
    <x v="91"/>
    <x v="0"/>
  </r>
  <r>
    <x v="0"/>
    <x v="13"/>
    <x v="13"/>
    <x v="12"/>
    <x v="12"/>
    <x v="12"/>
    <x v="10"/>
    <x v="174"/>
    <x v="162"/>
    <x v="81"/>
    <x v="153"/>
    <x v="111"/>
    <x v="183"/>
    <x v="0"/>
  </r>
  <r>
    <x v="0"/>
    <x v="13"/>
    <x v="13"/>
    <x v="13"/>
    <x v="13"/>
    <x v="13"/>
    <x v="11"/>
    <x v="175"/>
    <x v="163"/>
    <x v="66"/>
    <x v="168"/>
    <x v="75"/>
    <x v="184"/>
    <x v="0"/>
  </r>
  <r>
    <x v="0"/>
    <x v="13"/>
    <x v="13"/>
    <x v="14"/>
    <x v="14"/>
    <x v="14"/>
    <x v="11"/>
    <x v="175"/>
    <x v="163"/>
    <x v="99"/>
    <x v="15"/>
    <x v="129"/>
    <x v="156"/>
    <x v="0"/>
  </r>
  <r>
    <x v="0"/>
    <x v="13"/>
    <x v="13"/>
    <x v="18"/>
    <x v="18"/>
    <x v="18"/>
    <x v="13"/>
    <x v="88"/>
    <x v="11"/>
    <x v="60"/>
    <x v="215"/>
    <x v="57"/>
    <x v="185"/>
    <x v="0"/>
  </r>
  <r>
    <x v="0"/>
    <x v="13"/>
    <x v="13"/>
    <x v="23"/>
    <x v="23"/>
    <x v="23"/>
    <x v="14"/>
    <x v="48"/>
    <x v="164"/>
    <x v="34"/>
    <x v="122"/>
    <x v="68"/>
    <x v="142"/>
    <x v="0"/>
  </r>
  <r>
    <x v="0"/>
    <x v="13"/>
    <x v="13"/>
    <x v="15"/>
    <x v="15"/>
    <x v="15"/>
    <x v="15"/>
    <x v="89"/>
    <x v="155"/>
    <x v="49"/>
    <x v="148"/>
    <x v="52"/>
    <x v="186"/>
    <x v="0"/>
  </r>
  <r>
    <x v="0"/>
    <x v="13"/>
    <x v="13"/>
    <x v="22"/>
    <x v="22"/>
    <x v="22"/>
    <x v="16"/>
    <x v="90"/>
    <x v="51"/>
    <x v="88"/>
    <x v="216"/>
    <x v="67"/>
    <x v="90"/>
    <x v="0"/>
  </r>
  <r>
    <x v="0"/>
    <x v="13"/>
    <x v="13"/>
    <x v="19"/>
    <x v="19"/>
    <x v="19"/>
    <x v="17"/>
    <x v="111"/>
    <x v="53"/>
    <x v="109"/>
    <x v="217"/>
    <x v="88"/>
    <x v="187"/>
    <x v="0"/>
  </r>
  <r>
    <x v="0"/>
    <x v="13"/>
    <x v="13"/>
    <x v="29"/>
    <x v="29"/>
    <x v="29"/>
    <x v="18"/>
    <x v="51"/>
    <x v="54"/>
    <x v="52"/>
    <x v="30"/>
    <x v="54"/>
    <x v="66"/>
    <x v="0"/>
  </r>
  <r>
    <x v="0"/>
    <x v="13"/>
    <x v="13"/>
    <x v="11"/>
    <x v="11"/>
    <x v="11"/>
    <x v="19"/>
    <x v="97"/>
    <x v="165"/>
    <x v="92"/>
    <x v="192"/>
    <x v="92"/>
    <x v="179"/>
    <x v="0"/>
  </r>
  <r>
    <x v="0"/>
    <x v="14"/>
    <x v="14"/>
    <x v="1"/>
    <x v="1"/>
    <x v="1"/>
    <x v="0"/>
    <x v="176"/>
    <x v="166"/>
    <x v="161"/>
    <x v="218"/>
    <x v="130"/>
    <x v="188"/>
    <x v="7"/>
  </r>
  <r>
    <x v="0"/>
    <x v="14"/>
    <x v="14"/>
    <x v="0"/>
    <x v="0"/>
    <x v="0"/>
    <x v="1"/>
    <x v="177"/>
    <x v="167"/>
    <x v="162"/>
    <x v="219"/>
    <x v="113"/>
    <x v="189"/>
    <x v="0"/>
  </r>
  <r>
    <x v="0"/>
    <x v="14"/>
    <x v="14"/>
    <x v="5"/>
    <x v="5"/>
    <x v="5"/>
    <x v="2"/>
    <x v="178"/>
    <x v="168"/>
    <x v="163"/>
    <x v="220"/>
    <x v="131"/>
    <x v="21"/>
    <x v="0"/>
  </r>
  <r>
    <x v="0"/>
    <x v="14"/>
    <x v="14"/>
    <x v="3"/>
    <x v="3"/>
    <x v="3"/>
    <x v="3"/>
    <x v="40"/>
    <x v="169"/>
    <x v="37"/>
    <x v="221"/>
    <x v="23"/>
    <x v="190"/>
    <x v="0"/>
  </r>
  <r>
    <x v="0"/>
    <x v="14"/>
    <x v="14"/>
    <x v="4"/>
    <x v="4"/>
    <x v="4"/>
    <x v="4"/>
    <x v="123"/>
    <x v="170"/>
    <x v="164"/>
    <x v="222"/>
    <x v="132"/>
    <x v="186"/>
    <x v="0"/>
  </r>
  <r>
    <x v="0"/>
    <x v="14"/>
    <x v="14"/>
    <x v="7"/>
    <x v="7"/>
    <x v="7"/>
    <x v="5"/>
    <x v="179"/>
    <x v="171"/>
    <x v="161"/>
    <x v="218"/>
    <x v="43"/>
    <x v="25"/>
    <x v="0"/>
  </r>
  <r>
    <x v="0"/>
    <x v="14"/>
    <x v="14"/>
    <x v="8"/>
    <x v="8"/>
    <x v="8"/>
    <x v="6"/>
    <x v="180"/>
    <x v="5"/>
    <x v="165"/>
    <x v="223"/>
    <x v="110"/>
    <x v="191"/>
    <x v="7"/>
  </r>
  <r>
    <x v="0"/>
    <x v="14"/>
    <x v="14"/>
    <x v="2"/>
    <x v="2"/>
    <x v="2"/>
    <x v="7"/>
    <x v="150"/>
    <x v="125"/>
    <x v="166"/>
    <x v="224"/>
    <x v="58"/>
    <x v="128"/>
    <x v="0"/>
  </r>
  <r>
    <x v="0"/>
    <x v="14"/>
    <x v="14"/>
    <x v="14"/>
    <x v="14"/>
    <x v="14"/>
    <x v="8"/>
    <x v="153"/>
    <x v="172"/>
    <x v="48"/>
    <x v="225"/>
    <x v="133"/>
    <x v="192"/>
    <x v="0"/>
  </r>
  <r>
    <x v="0"/>
    <x v="14"/>
    <x v="14"/>
    <x v="21"/>
    <x v="21"/>
    <x v="21"/>
    <x v="9"/>
    <x v="181"/>
    <x v="45"/>
    <x v="54"/>
    <x v="34"/>
    <x v="133"/>
    <x v="192"/>
    <x v="3"/>
  </r>
  <r>
    <x v="0"/>
    <x v="14"/>
    <x v="14"/>
    <x v="6"/>
    <x v="6"/>
    <x v="6"/>
    <x v="10"/>
    <x v="182"/>
    <x v="107"/>
    <x v="33"/>
    <x v="226"/>
    <x v="95"/>
    <x v="68"/>
    <x v="0"/>
  </r>
  <r>
    <x v="0"/>
    <x v="14"/>
    <x v="14"/>
    <x v="15"/>
    <x v="15"/>
    <x v="15"/>
    <x v="11"/>
    <x v="183"/>
    <x v="173"/>
    <x v="88"/>
    <x v="227"/>
    <x v="111"/>
    <x v="17"/>
    <x v="0"/>
  </r>
  <r>
    <x v="0"/>
    <x v="14"/>
    <x v="14"/>
    <x v="12"/>
    <x v="12"/>
    <x v="12"/>
    <x v="12"/>
    <x v="184"/>
    <x v="32"/>
    <x v="125"/>
    <x v="118"/>
    <x v="134"/>
    <x v="193"/>
    <x v="7"/>
  </r>
  <r>
    <x v="0"/>
    <x v="14"/>
    <x v="14"/>
    <x v="9"/>
    <x v="9"/>
    <x v="9"/>
    <x v="12"/>
    <x v="184"/>
    <x v="32"/>
    <x v="36"/>
    <x v="228"/>
    <x v="67"/>
    <x v="60"/>
    <x v="0"/>
  </r>
  <r>
    <x v="0"/>
    <x v="14"/>
    <x v="14"/>
    <x v="18"/>
    <x v="18"/>
    <x v="18"/>
    <x v="14"/>
    <x v="185"/>
    <x v="66"/>
    <x v="61"/>
    <x v="229"/>
    <x v="51"/>
    <x v="11"/>
    <x v="0"/>
  </r>
  <r>
    <x v="0"/>
    <x v="14"/>
    <x v="14"/>
    <x v="23"/>
    <x v="23"/>
    <x v="23"/>
    <x v="15"/>
    <x v="186"/>
    <x v="52"/>
    <x v="56"/>
    <x v="122"/>
    <x v="135"/>
    <x v="96"/>
    <x v="0"/>
  </r>
  <r>
    <x v="0"/>
    <x v="14"/>
    <x v="14"/>
    <x v="13"/>
    <x v="13"/>
    <x v="13"/>
    <x v="16"/>
    <x v="187"/>
    <x v="148"/>
    <x v="65"/>
    <x v="230"/>
    <x v="49"/>
    <x v="117"/>
    <x v="7"/>
  </r>
  <r>
    <x v="0"/>
    <x v="14"/>
    <x v="14"/>
    <x v="16"/>
    <x v="16"/>
    <x v="16"/>
    <x v="17"/>
    <x v="188"/>
    <x v="16"/>
    <x v="53"/>
    <x v="231"/>
    <x v="136"/>
    <x v="194"/>
    <x v="0"/>
  </r>
  <r>
    <x v="0"/>
    <x v="14"/>
    <x v="14"/>
    <x v="28"/>
    <x v="28"/>
    <x v="28"/>
    <x v="18"/>
    <x v="174"/>
    <x v="38"/>
    <x v="65"/>
    <x v="230"/>
    <x v="55"/>
    <x v="5"/>
    <x v="0"/>
  </r>
  <r>
    <x v="0"/>
    <x v="14"/>
    <x v="14"/>
    <x v="20"/>
    <x v="20"/>
    <x v="20"/>
    <x v="18"/>
    <x v="174"/>
    <x v="38"/>
    <x v="106"/>
    <x v="232"/>
    <x v="137"/>
    <x v="61"/>
    <x v="0"/>
  </r>
  <r>
    <x v="0"/>
    <x v="15"/>
    <x v="15"/>
    <x v="1"/>
    <x v="1"/>
    <x v="1"/>
    <x v="0"/>
    <x v="88"/>
    <x v="174"/>
    <x v="142"/>
    <x v="233"/>
    <x v="52"/>
    <x v="195"/>
    <x v="7"/>
  </r>
  <r>
    <x v="0"/>
    <x v="15"/>
    <x v="15"/>
    <x v="0"/>
    <x v="0"/>
    <x v="0"/>
    <x v="1"/>
    <x v="111"/>
    <x v="175"/>
    <x v="126"/>
    <x v="125"/>
    <x v="61"/>
    <x v="196"/>
    <x v="0"/>
  </r>
  <r>
    <x v="0"/>
    <x v="15"/>
    <x v="15"/>
    <x v="10"/>
    <x v="10"/>
    <x v="10"/>
    <x v="2"/>
    <x v="189"/>
    <x v="176"/>
    <x v="98"/>
    <x v="234"/>
    <x v="89"/>
    <x v="197"/>
    <x v="0"/>
  </r>
  <r>
    <x v="0"/>
    <x v="15"/>
    <x v="15"/>
    <x v="2"/>
    <x v="2"/>
    <x v="2"/>
    <x v="2"/>
    <x v="189"/>
    <x v="176"/>
    <x v="167"/>
    <x v="226"/>
    <x v="83"/>
    <x v="181"/>
    <x v="0"/>
  </r>
  <r>
    <x v="0"/>
    <x v="15"/>
    <x v="15"/>
    <x v="6"/>
    <x v="6"/>
    <x v="6"/>
    <x v="4"/>
    <x v="112"/>
    <x v="177"/>
    <x v="167"/>
    <x v="226"/>
    <x v="65"/>
    <x v="160"/>
    <x v="0"/>
  </r>
  <r>
    <x v="0"/>
    <x v="15"/>
    <x v="15"/>
    <x v="24"/>
    <x v="24"/>
    <x v="24"/>
    <x v="5"/>
    <x v="190"/>
    <x v="178"/>
    <x v="49"/>
    <x v="235"/>
    <x v="64"/>
    <x v="185"/>
    <x v="0"/>
  </r>
  <r>
    <x v="0"/>
    <x v="15"/>
    <x v="15"/>
    <x v="5"/>
    <x v="5"/>
    <x v="5"/>
    <x v="5"/>
    <x v="190"/>
    <x v="178"/>
    <x v="111"/>
    <x v="236"/>
    <x v="61"/>
    <x v="196"/>
    <x v="0"/>
  </r>
  <r>
    <x v="0"/>
    <x v="15"/>
    <x v="15"/>
    <x v="15"/>
    <x v="15"/>
    <x v="15"/>
    <x v="7"/>
    <x v="99"/>
    <x v="172"/>
    <x v="153"/>
    <x v="190"/>
    <x v="87"/>
    <x v="198"/>
    <x v="0"/>
  </r>
  <r>
    <x v="0"/>
    <x v="15"/>
    <x v="15"/>
    <x v="9"/>
    <x v="9"/>
    <x v="9"/>
    <x v="8"/>
    <x v="191"/>
    <x v="46"/>
    <x v="49"/>
    <x v="235"/>
    <x v="84"/>
    <x v="91"/>
    <x v="0"/>
  </r>
  <r>
    <x v="0"/>
    <x v="15"/>
    <x v="15"/>
    <x v="8"/>
    <x v="8"/>
    <x v="8"/>
    <x v="9"/>
    <x v="192"/>
    <x v="179"/>
    <x v="125"/>
    <x v="82"/>
    <x v="77"/>
    <x v="199"/>
    <x v="0"/>
  </r>
  <r>
    <x v="0"/>
    <x v="15"/>
    <x v="15"/>
    <x v="4"/>
    <x v="4"/>
    <x v="4"/>
    <x v="10"/>
    <x v="193"/>
    <x v="180"/>
    <x v="153"/>
    <x v="190"/>
    <x v="74"/>
    <x v="37"/>
    <x v="0"/>
  </r>
  <r>
    <x v="0"/>
    <x v="15"/>
    <x v="15"/>
    <x v="3"/>
    <x v="3"/>
    <x v="3"/>
    <x v="11"/>
    <x v="194"/>
    <x v="137"/>
    <x v="55"/>
    <x v="237"/>
    <x v="84"/>
    <x v="91"/>
    <x v="0"/>
  </r>
  <r>
    <x v="0"/>
    <x v="15"/>
    <x v="15"/>
    <x v="7"/>
    <x v="7"/>
    <x v="7"/>
    <x v="12"/>
    <x v="195"/>
    <x v="181"/>
    <x v="67"/>
    <x v="238"/>
    <x v="65"/>
    <x v="160"/>
    <x v="0"/>
  </r>
  <r>
    <x v="0"/>
    <x v="15"/>
    <x v="15"/>
    <x v="42"/>
    <x v="42"/>
    <x v="42"/>
    <x v="12"/>
    <x v="195"/>
    <x v="181"/>
    <x v="48"/>
    <x v="239"/>
    <x v="64"/>
    <x v="185"/>
    <x v="7"/>
  </r>
  <r>
    <x v="0"/>
    <x v="15"/>
    <x v="15"/>
    <x v="11"/>
    <x v="11"/>
    <x v="11"/>
    <x v="14"/>
    <x v="196"/>
    <x v="33"/>
    <x v="153"/>
    <x v="190"/>
    <x v="83"/>
    <x v="181"/>
    <x v="0"/>
  </r>
  <r>
    <x v="0"/>
    <x v="15"/>
    <x v="15"/>
    <x v="19"/>
    <x v="19"/>
    <x v="19"/>
    <x v="14"/>
    <x v="196"/>
    <x v="33"/>
    <x v="47"/>
    <x v="15"/>
    <x v="73"/>
    <x v="200"/>
    <x v="0"/>
  </r>
  <r>
    <x v="0"/>
    <x v="15"/>
    <x v="15"/>
    <x v="12"/>
    <x v="12"/>
    <x v="12"/>
    <x v="16"/>
    <x v="197"/>
    <x v="90"/>
    <x v="53"/>
    <x v="202"/>
    <x v="73"/>
    <x v="200"/>
    <x v="0"/>
  </r>
  <r>
    <x v="0"/>
    <x v="15"/>
    <x v="15"/>
    <x v="20"/>
    <x v="20"/>
    <x v="20"/>
    <x v="16"/>
    <x v="197"/>
    <x v="90"/>
    <x v="81"/>
    <x v="154"/>
    <x v="77"/>
    <x v="199"/>
    <x v="0"/>
  </r>
  <r>
    <x v="0"/>
    <x v="15"/>
    <x v="15"/>
    <x v="13"/>
    <x v="13"/>
    <x v="13"/>
    <x v="18"/>
    <x v="198"/>
    <x v="182"/>
    <x v="125"/>
    <x v="82"/>
    <x v="67"/>
    <x v="45"/>
    <x v="0"/>
  </r>
  <r>
    <x v="0"/>
    <x v="15"/>
    <x v="15"/>
    <x v="17"/>
    <x v="17"/>
    <x v="17"/>
    <x v="19"/>
    <x v="199"/>
    <x v="183"/>
    <x v="93"/>
    <x v="240"/>
    <x v="45"/>
    <x v="201"/>
    <x v="0"/>
  </r>
  <r>
    <x v="0"/>
    <x v="16"/>
    <x v="16"/>
    <x v="1"/>
    <x v="1"/>
    <x v="1"/>
    <x v="0"/>
    <x v="108"/>
    <x v="184"/>
    <x v="97"/>
    <x v="138"/>
    <x v="138"/>
    <x v="202"/>
    <x v="7"/>
  </r>
  <r>
    <x v="0"/>
    <x v="16"/>
    <x v="16"/>
    <x v="5"/>
    <x v="5"/>
    <x v="5"/>
    <x v="1"/>
    <x v="173"/>
    <x v="185"/>
    <x v="76"/>
    <x v="241"/>
    <x v="45"/>
    <x v="52"/>
    <x v="0"/>
  </r>
  <r>
    <x v="0"/>
    <x v="16"/>
    <x v="16"/>
    <x v="0"/>
    <x v="0"/>
    <x v="0"/>
    <x v="2"/>
    <x v="60"/>
    <x v="186"/>
    <x v="94"/>
    <x v="242"/>
    <x v="81"/>
    <x v="33"/>
    <x v="0"/>
  </r>
  <r>
    <x v="0"/>
    <x v="16"/>
    <x v="16"/>
    <x v="3"/>
    <x v="3"/>
    <x v="3"/>
    <x v="3"/>
    <x v="134"/>
    <x v="187"/>
    <x v="87"/>
    <x v="243"/>
    <x v="44"/>
    <x v="203"/>
    <x v="0"/>
  </r>
  <r>
    <x v="0"/>
    <x v="16"/>
    <x v="16"/>
    <x v="14"/>
    <x v="14"/>
    <x v="14"/>
    <x v="4"/>
    <x v="111"/>
    <x v="188"/>
    <x v="51"/>
    <x v="244"/>
    <x v="29"/>
    <x v="204"/>
    <x v="0"/>
  </r>
  <r>
    <x v="0"/>
    <x v="16"/>
    <x v="16"/>
    <x v="15"/>
    <x v="15"/>
    <x v="15"/>
    <x v="5"/>
    <x v="97"/>
    <x v="189"/>
    <x v="153"/>
    <x v="245"/>
    <x v="85"/>
    <x v="205"/>
    <x v="0"/>
  </r>
  <r>
    <x v="0"/>
    <x v="16"/>
    <x v="16"/>
    <x v="21"/>
    <x v="21"/>
    <x v="21"/>
    <x v="5"/>
    <x v="97"/>
    <x v="189"/>
    <x v="53"/>
    <x v="246"/>
    <x v="110"/>
    <x v="206"/>
    <x v="3"/>
  </r>
  <r>
    <x v="0"/>
    <x v="16"/>
    <x v="16"/>
    <x v="4"/>
    <x v="4"/>
    <x v="4"/>
    <x v="7"/>
    <x v="106"/>
    <x v="85"/>
    <x v="142"/>
    <x v="247"/>
    <x v="55"/>
    <x v="51"/>
    <x v="0"/>
  </r>
  <r>
    <x v="0"/>
    <x v="16"/>
    <x v="16"/>
    <x v="12"/>
    <x v="12"/>
    <x v="12"/>
    <x v="8"/>
    <x v="53"/>
    <x v="72"/>
    <x v="50"/>
    <x v="176"/>
    <x v="51"/>
    <x v="207"/>
    <x v="0"/>
  </r>
  <r>
    <x v="0"/>
    <x v="16"/>
    <x v="16"/>
    <x v="8"/>
    <x v="8"/>
    <x v="8"/>
    <x v="9"/>
    <x v="82"/>
    <x v="190"/>
    <x v="55"/>
    <x v="248"/>
    <x v="63"/>
    <x v="32"/>
    <x v="0"/>
  </r>
  <r>
    <x v="0"/>
    <x v="16"/>
    <x v="16"/>
    <x v="26"/>
    <x v="26"/>
    <x v="26"/>
    <x v="10"/>
    <x v="93"/>
    <x v="107"/>
    <x v="168"/>
    <x v="249"/>
    <x v="131"/>
    <x v="208"/>
    <x v="0"/>
  </r>
  <r>
    <x v="0"/>
    <x v="16"/>
    <x v="16"/>
    <x v="44"/>
    <x v="44"/>
    <x v="44"/>
    <x v="11"/>
    <x v="112"/>
    <x v="109"/>
    <x v="106"/>
    <x v="4"/>
    <x v="87"/>
    <x v="93"/>
    <x v="0"/>
  </r>
  <r>
    <x v="0"/>
    <x v="16"/>
    <x v="16"/>
    <x v="25"/>
    <x v="25"/>
    <x v="25"/>
    <x v="12"/>
    <x v="113"/>
    <x v="180"/>
    <x v="168"/>
    <x v="249"/>
    <x v="94"/>
    <x v="209"/>
    <x v="0"/>
  </r>
  <r>
    <x v="0"/>
    <x v="16"/>
    <x v="16"/>
    <x v="2"/>
    <x v="2"/>
    <x v="2"/>
    <x v="12"/>
    <x v="113"/>
    <x v="180"/>
    <x v="169"/>
    <x v="7"/>
    <x v="76"/>
    <x v="210"/>
    <x v="0"/>
  </r>
  <r>
    <x v="0"/>
    <x v="16"/>
    <x v="16"/>
    <x v="23"/>
    <x v="23"/>
    <x v="23"/>
    <x v="14"/>
    <x v="101"/>
    <x v="33"/>
    <x v="97"/>
    <x v="138"/>
    <x v="92"/>
    <x v="211"/>
    <x v="0"/>
  </r>
  <r>
    <x v="0"/>
    <x v="16"/>
    <x v="16"/>
    <x v="28"/>
    <x v="28"/>
    <x v="28"/>
    <x v="15"/>
    <x v="191"/>
    <x v="90"/>
    <x v="81"/>
    <x v="250"/>
    <x v="44"/>
    <x v="203"/>
    <x v="0"/>
  </r>
  <r>
    <x v="0"/>
    <x v="16"/>
    <x v="16"/>
    <x v="41"/>
    <x v="41"/>
    <x v="41"/>
    <x v="16"/>
    <x v="192"/>
    <x v="12"/>
    <x v="51"/>
    <x v="244"/>
    <x v="89"/>
    <x v="212"/>
    <x v="0"/>
  </r>
  <r>
    <x v="0"/>
    <x v="16"/>
    <x v="16"/>
    <x v="13"/>
    <x v="13"/>
    <x v="13"/>
    <x v="17"/>
    <x v="194"/>
    <x v="100"/>
    <x v="98"/>
    <x v="123"/>
    <x v="58"/>
    <x v="4"/>
    <x v="7"/>
  </r>
  <r>
    <x v="0"/>
    <x v="16"/>
    <x v="16"/>
    <x v="19"/>
    <x v="19"/>
    <x v="19"/>
    <x v="17"/>
    <x v="194"/>
    <x v="100"/>
    <x v="93"/>
    <x v="38"/>
    <x v="44"/>
    <x v="203"/>
    <x v="0"/>
  </r>
  <r>
    <x v="0"/>
    <x v="16"/>
    <x v="16"/>
    <x v="45"/>
    <x v="45"/>
    <x v="45"/>
    <x v="19"/>
    <x v="195"/>
    <x v="130"/>
    <x v="67"/>
    <x v="251"/>
    <x v="65"/>
    <x v="88"/>
    <x v="0"/>
  </r>
  <r>
    <x v="0"/>
    <x v="17"/>
    <x v="17"/>
    <x v="0"/>
    <x v="0"/>
    <x v="0"/>
    <x v="0"/>
    <x v="102"/>
    <x v="191"/>
    <x v="170"/>
    <x v="252"/>
    <x v="48"/>
    <x v="85"/>
    <x v="0"/>
  </r>
  <r>
    <x v="0"/>
    <x v="17"/>
    <x v="17"/>
    <x v="1"/>
    <x v="1"/>
    <x v="1"/>
    <x v="1"/>
    <x v="200"/>
    <x v="174"/>
    <x v="34"/>
    <x v="200"/>
    <x v="139"/>
    <x v="213"/>
    <x v="0"/>
  </r>
  <r>
    <x v="0"/>
    <x v="17"/>
    <x v="17"/>
    <x v="7"/>
    <x v="7"/>
    <x v="7"/>
    <x v="2"/>
    <x v="86"/>
    <x v="192"/>
    <x v="171"/>
    <x v="253"/>
    <x v="59"/>
    <x v="2"/>
    <x v="0"/>
  </r>
  <r>
    <x v="0"/>
    <x v="17"/>
    <x v="17"/>
    <x v="5"/>
    <x v="5"/>
    <x v="5"/>
    <x v="3"/>
    <x v="201"/>
    <x v="115"/>
    <x v="43"/>
    <x v="44"/>
    <x v="72"/>
    <x v="42"/>
    <x v="0"/>
  </r>
  <r>
    <x v="0"/>
    <x v="17"/>
    <x v="17"/>
    <x v="4"/>
    <x v="4"/>
    <x v="4"/>
    <x v="4"/>
    <x v="47"/>
    <x v="193"/>
    <x v="103"/>
    <x v="199"/>
    <x v="95"/>
    <x v="100"/>
    <x v="7"/>
  </r>
  <r>
    <x v="0"/>
    <x v="17"/>
    <x v="17"/>
    <x v="2"/>
    <x v="2"/>
    <x v="2"/>
    <x v="5"/>
    <x v="88"/>
    <x v="194"/>
    <x v="112"/>
    <x v="2"/>
    <x v="83"/>
    <x v="214"/>
    <x v="0"/>
  </r>
  <r>
    <x v="0"/>
    <x v="17"/>
    <x v="17"/>
    <x v="6"/>
    <x v="6"/>
    <x v="6"/>
    <x v="5"/>
    <x v="88"/>
    <x v="194"/>
    <x v="172"/>
    <x v="61"/>
    <x v="74"/>
    <x v="215"/>
    <x v="0"/>
  </r>
  <r>
    <x v="0"/>
    <x v="17"/>
    <x v="17"/>
    <x v="3"/>
    <x v="3"/>
    <x v="3"/>
    <x v="7"/>
    <x v="63"/>
    <x v="144"/>
    <x v="89"/>
    <x v="254"/>
    <x v="45"/>
    <x v="216"/>
    <x v="0"/>
  </r>
  <r>
    <x v="0"/>
    <x v="17"/>
    <x v="17"/>
    <x v="10"/>
    <x v="10"/>
    <x v="10"/>
    <x v="8"/>
    <x v="134"/>
    <x v="99"/>
    <x v="98"/>
    <x v="208"/>
    <x v="51"/>
    <x v="208"/>
    <x v="0"/>
  </r>
  <r>
    <x v="0"/>
    <x v="17"/>
    <x v="17"/>
    <x v="17"/>
    <x v="17"/>
    <x v="17"/>
    <x v="8"/>
    <x v="134"/>
    <x v="99"/>
    <x v="93"/>
    <x v="119"/>
    <x v="140"/>
    <x v="217"/>
    <x v="0"/>
  </r>
  <r>
    <x v="0"/>
    <x v="17"/>
    <x v="17"/>
    <x v="9"/>
    <x v="9"/>
    <x v="9"/>
    <x v="10"/>
    <x v="135"/>
    <x v="195"/>
    <x v="173"/>
    <x v="255"/>
    <x v="84"/>
    <x v="91"/>
    <x v="0"/>
  </r>
  <r>
    <x v="0"/>
    <x v="17"/>
    <x v="17"/>
    <x v="12"/>
    <x v="12"/>
    <x v="12"/>
    <x v="11"/>
    <x v="111"/>
    <x v="29"/>
    <x v="50"/>
    <x v="256"/>
    <x v="109"/>
    <x v="10"/>
    <x v="0"/>
  </r>
  <r>
    <x v="0"/>
    <x v="17"/>
    <x v="17"/>
    <x v="11"/>
    <x v="11"/>
    <x v="11"/>
    <x v="12"/>
    <x v="97"/>
    <x v="127"/>
    <x v="82"/>
    <x v="257"/>
    <x v="36"/>
    <x v="72"/>
    <x v="0"/>
  </r>
  <r>
    <x v="0"/>
    <x v="17"/>
    <x v="17"/>
    <x v="21"/>
    <x v="21"/>
    <x v="21"/>
    <x v="13"/>
    <x v="53"/>
    <x v="154"/>
    <x v="50"/>
    <x v="256"/>
    <x v="110"/>
    <x v="218"/>
    <x v="0"/>
  </r>
  <r>
    <x v="0"/>
    <x v="17"/>
    <x v="17"/>
    <x v="8"/>
    <x v="8"/>
    <x v="8"/>
    <x v="14"/>
    <x v="79"/>
    <x v="181"/>
    <x v="80"/>
    <x v="157"/>
    <x v="58"/>
    <x v="133"/>
    <x v="0"/>
  </r>
  <r>
    <x v="0"/>
    <x v="17"/>
    <x v="17"/>
    <x v="14"/>
    <x v="14"/>
    <x v="14"/>
    <x v="15"/>
    <x v="98"/>
    <x v="32"/>
    <x v="54"/>
    <x v="258"/>
    <x v="78"/>
    <x v="219"/>
    <x v="0"/>
  </r>
  <r>
    <x v="0"/>
    <x v="17"/>
    <x v="17"/>
    <x v="37"/>
    <x v="37"/>
    <x v="37"/>
    <x v="16"/>
    <x v="80"/>
    <x v="146"/>
    <x v="96"/>
    <x v="10"/>
    <x v="88"/>
    <x v="110"/>
    <x v="0"/>
  </r>
  <r>
    <x v="0"/>
    <x v="17"/>
    <x v="17"/>
    <x v="16"/>
    <x v="16"/>
    <x v="16"/>
    <x v="17"/>
    <x v="54"/>
    <x v="89"/>
    <x v="53"/>
    <x v="259"/>
    <x v="99"/>
    <x v="95"/>
    <x v="0"/>
  </r>
  <r>
    <x v="0"/>
    <x v="17"/>
    <x v="17"/>
    <x v="18"/>
    <x v="18"/>
    <x v="18"/>
    <x v="17"/>
    <x v="54"/>
    <x v="89"/>
    <x v="102"/>
    <x v="260"/>
    <x v="81"/>
    <x v="21"/>
    <x v="0"/>
  </r>
  <r>
    <x v="0"/>
    <x v="17"/>
    <x v="17"/>
    <x v="13"/>
    <x v="13"/>
    <x v="13"/>
    <x v="19"/>
    <x v="81"/>
    <x v="164"/>
    <x v="111"/>
    <x v="261"/>
    <x v="73"/>
    <x v="220"/>
    <x v="7"/>
  </r>
  <r>
    <x v="0"/>
    <x v="18"/>
    <x v="18"/>
    <x v="1"/>
    <x v="1"/>
    <x v="1"/>
    <x v="0"/>
    <x v="54"/>
    <x v="196"/>
    <x v="116"/>
    <x v="262"/>
    <x v="45"/>
    <x v="221"/>
    <x v="0"/>
  </r>
  <r>
    <x v="0"/>
    <x v="18"/>
    <x v="18"/>
    <x v="0"/>
    <x v="0"/>
    <x v="0"/>
    <x v="1"/>
    <x v="55"/>
    <x v="197"/>
    <x v="95"/>
    <x v="263"/>
    <x v="67"/>
    <x v="0"/>
    <x v="0"/>
  </r>
  <r>
    <x v="0"/>
    <x v="18"/>
    <x v="18"/>
    <x v="2"/>
    <x v="2"/>
    <x v="2"/>
    <x v="2"/>
    <x v="197"/>
    <x v="169"/>
    <x v="108"/>
    <x v="264"/>
    <x v="84"/>
    <x v="91"/>
    <x v="0"/>
  </r>
  <r>
    <x v="0"/>
    <x v="18"/>
    <x v="18"/>
    <x v="4"/>
    <x v="4"/>
    <x v="4"/>
    <x v="3"/>
    <x v="198"/>
    <x v="198"/>
    <x v="125"/>
    <x v="94"/>
    <x v="67"/>
    <x v="0"/>
    <x v="0"/>
  </r>
  <r>
    <x v="0"/>
    <x v="18"/>
    <x v="18"/>
    <x v="8"/>
    <x v="8"/>
    <x v="8"/>
    <x v="4"/>
    <x v="199"/>
    <x v="199"/>
    <x v="99"/>
    <x v="245"/>
    <x v="59"/>
    <x v="222"/>
    <x v="0"/>
  </r>
  <r>
    <x v="0"/>
    <x v="18"/>
    <x v="18"/>
    <x v="6"/>
    <x v="6"/>
    <x v="6"/>
    <x v="5"/>
    <x v="202"/>
    <x v="98"/>
    <x v="100"/>
    <x v="265"/>
    <x v="65"/>
    <x v="7"/>
    <x v="0"/>
  </r>
  <r>
    <x v="0"/>
    <x v="18"/>
    <x v="18"/>
    <x v="5"/>
    <x v="5"/>
    <x v="5"/>
    <x v="6"/>
    <x v="203"/>
    <x v="190"/>
    <x v="100"/>
    <x v="265"/>
    <x v="84"/>
    <x v="91"/>
    <x v="0"/>
  </r>
  <r>
    <x v="0"/>
    <x v="18"/>
    <x v="18"/>
    <x v="17"/>
    <x v="17"/>
    <x v="17"/>
    <x v="7"/>
    <x v="204"/>
    <x v="135"/>
    <x v="62"/>
    <x v="137"/>
    <x v="72"/>
    <x v="223"/>
    <x v="0"/>
  </r>
  <r>
    <x v="0"/>
    <x v="18"/>
    <x v="18"/>
    <x v="24"/>
    <x v="24"/>
    <x v="24"/>
    <x v="8"/>
    <x v="205"/>
    <x v="200"/>
    <x v="81"/>
    <x v="266"/>
    <x v="67"/>
    <x v="0"/>
    <x v="0"/>
  </r>
  <r>
    <x v="0"/>
    <x v="18"/>
    <x v="18"/>
    <x v="9"/>
    <x v="9"/>
    <x v="9"/>
    <x v="8"/>
    <x v="205"/>
    <x v="200"/>
    <x v="99"/>
    <x v="245"/>
    <x v="83"/>
    <x v="224"/>
    <x v="0"/>
  </r>
  <r>
    <x v="0"/>
    <x v="18"/>
    <x v="18"/>
    <x v="18"/>
    <x v="18"/>
    <x v="18"/>
    <x v="8"/>
    <x v="205"/>
    <x v="200"/>
    <x v="81"/>
    <x v="266"/>
    <x v="67"/>
    <x v="0"/>
    <x v="0"/>
  </r>
  <r>
    <x v="0"/>
    <x v="18"/>
    <x v="18"/>
    <x v="10"/>
    <x v="10"/>
    <x v="10"/>
    <x v="11"/>
    <x v="206"/>
    <x v="46"/>
    <x v="47"/>
    <x v="175"/>
    <x v="77"/>
    <x v="225"/>
    <x v="0"/>
  </r>
  <r>
    <x v="0"/>
    <x v="18"/>
    <x v="18"/>
    <x v="11"/>
    <x v="11"/>
    <x v="11"/>
    <x v="12"/>
    <x v="207"/>
    <x v="146"/>
    <x v="54"/>
    <x v="123"/>
    <x v="74"/>
    <x v="226"/>
    <x v="0"/>
  </r>
  <r>
    <x v="0"/>
    <x v="18"/>
    <x v="18"/>
    <x v="3"/>
    <x v="3"/>
    <x v="3"/>
    <x v="12"/>
    <x v="207"/>
    <x v="146"/>
    <x v="93"/>
    <x v="267"/>
    <x v="67"/>
    <x v="0"/>
    <x v="0"/>
  </r>
  <r>
    <x v="0"/>
    <x v="18"/>
    <x v="18"/>
    <x v="28"/>
    <x v="28"/>
    <x v="28"/>
    <x v="14"/>
    <x v="208"/>
    <x v="182"/>
    <x v="69"/>
    <x v="268"/>
    <x v="65"/>
    <x v="7"/>
    <x v="0"/>
  </r>
  <r>
    <x v="0"/>
    <x v="18"/>
    <x v="18"/>
    <x v="7"/>
    <x v="7"/>
    <x v="7"/>
    <x v="14"/>
    <x v="208"/>
    <x v="182"/>
    <x v="69"/>
    <x v="268"/>
    <x v="65"/>
    <x v="7"/>
    <x v="0"/>
  </r>
  <r>
    <x v="0"/>
    <x v="18"/>
    <x v="18"/>
    <x v="16"/>
    <x v="16"/>
    <x v="16"/>
    <x v="16"/>
    <x v="209"/>
    <x v="100"/>
    <x v="51"/>
    <x v="150"/>
    <x v="59"/>
    <x v="222"/>
    <x v="0"/>
  </r>
  <r>
    <x v="0"/>
    <x v="18"/>
    <x v="18"/>
    <x v="46"/>
    <x v="46"/>
    <x v="46"/>
    <x v="16"/>
    <x v="209"/>
    <x v="100"/>
    <x v="50"/>
    <x v="54"/>
    <x v="76"/>
    <x v="122"/>
    <x v="0"/>
  </r>
  <r>
    <x v="0"/>
    <x v="18"/>
    <x v="18"/>
    <x v="30"/>
    <x v="30"/>
    <x v="30"/>
    <x v="16"/>
    <x v="209"/>
    <x v="100"/>
    <x v="62"/>
    <x v="137"/>
    <x v="83"/>
    <x v="224"/>
    <x v="0"/>
  </r>
  <r>
    <x v="0"/>
    <x v="18"/>
    <x v="18"/>
    <x v="42"/>
    <x v="42"/>
    <x v="42"/>
    <x v="16"/>
    <x v="209"/>
    <x v="100"/>
    <x v="69"/>
    <x v="268"/>
    <x v="84"/>
    <x v="91"/>
    <x v="0"/>
  </r>
  <r>
    <x v="0"/>
    <x v="19"/>
    <x v="19"/>
    <x v="0"/>
    <x v="0"/>
    <x v="0"/>
    <x v="0"/>
    <x v="210"/>
    <x v="201"/>
    <x v="174"/>
    <x v="269"/>
    <x v="74"/>
    <x v="69"/>
    <x v="0"/>
  </r>
  <r>
    <x v="0"/>
    <x v="19"/>
    <x v="19"/>
    <x v="47"/>
    <x v="47"/>
    <x v="47"/>
    <x v="1"/>
    <x v="94"/>
    <x v="202"/>
    <x v="74"/>
    <x v="44"/>
    <x v="45"/>
    <x v="227"/>
    <x v="0"/>
  </r>
  <r>
    <x v="0"/>
    <x v="19"/>
    <x v="19"/>
    <x v="2"/>
    <x v="2"/>
    <x v="2"/>
    <x v="2"/>
    <x v="187"/>
    <x v="203"/>
    <x v="175"/>
    <x v="270"/>
    <x v="77"/>
    <x v="228"/>
    <x v="0"/>
  </r>
  <r>
    <x v="0"/>
    <x v="19"/>
    <x v="19"/>
    <x v="1"/>
    <x v="1"/>
    <x v="1"/>
    <x v="3"/>
    <x v="211"/>
    <x v="204"/>
    <x v="173"/>
    <x v="271"/>
    <x v="85"/>
    <x v="229"/>
    <x v="0"/>
  </r>
  <r>
    <x v="0"/>
    <x v="19"/>
    <x v="19"/>
    <x v="48"/>
    <x v="48"/>
    <x v="48"/>
    <x v="4"/>
    <x v="46"/>
    <x v="205"/>
    <x v="103"/>
    <x v="100"/>
    <x v="63"/>
    <x v="104"/>
    <x v="0"/>
  </r>
  <r>
    <x v="0"/>
    <x v="19"/>
    <x v="19"/>
    <x v="9"/>
    <x v="9"/>
    <x v="9"/>
    <x v="5"/>
    <x v="105"/>
    <x v="176"/>
    <x v="112"/>
    <x v="186"/>
    <x v="67"/>
    <x v="230"/>
    <x v="0"/>
  </r>
  <r>
    <x v="0"/>
    <x v="19"/>
    <x v="19"/>
    <x v="3"/>
    <x v="3"/>
    <x v="3"/>
    <x v="6"/>
    <x v="63"/>
    <x v="5"/>
    <x v="66"/>
    <x v="272"/>
    <x v="48"/>
    <x v="163"/>
    <x v="0"/>
  </r>
  <r>
    <x v="0"/>
    <x v="19"/>
    <x v="19"/>
    <x v="6"/>
    <x v="6"/>
    <x v="6"/>
    <x v="6"/>
    <x v="63"/>
    <x v="5"/>
    <x v="86"/>
    <x v="77"/>
    <x v="65"/>
    <x v="231"/>
    <x v="0"/>
  </r>
  <r>
    <x v="0"/>
    <x v="19"/>
    <x v="19"/>
    <x v="8"/>
    <x v="8"/>
    <x v="8"/>
    <x v="8"/>
    <x v="50"/>
    <x v="118"/>
    <x v="87"/>
    <x v="273"/>
    <x v="81"/>
    <x v="232"/>
    <x v="0"/>
  </r>
  <r>
    <x v="0"/>
    <x v="19"/>
    <x v="19"/>
    <x v="10"/>
    <x v="10"/>
    <x v="10"/>
    <x v="9"/>
    <x v="111"/>
    <x v="206"/>
    <x v="48"/>
    <x v="193"/>
    <x v="80"/>
    <x v="233"/>
    <x v="0"/>
  </r>
  <r>
    <x v="0"/>
    <x v="19"/>
    <x v="19"/>
    <x v="49"/>
    <x v="49"/>
    <x v="49"/>
    <x v="10"/>
    <x v="97"/>
    <x v="179"/>
    <x v="90"/>
    <x v="274"/>
    <x v="73"/>
    <x v="234"/>
    <x v="0"/>
  </r>
  <r>
    <x v="0"/>
    <x v="19"/>
    <x v="19"/>
    <x v="28"/>
    <x v="28"/>
    <x v="28"/>
    <x v="10"/>
    <x v="97"/>
    <x v="179"/>
    <x v="90"/>
    <x v="274"/>
    <x v="73"/>
    <x v="234"/>
    <x v="0"/>
  </r>
  <r>
    <x v="0"/>
    <x v="19"/>
    <x v="19"/>
    <x v="11"/>
    <x v="11"/>
    <x v="11"/>
    <x v="12"/>
    <x v="52"/>
    <x v="162"/>
    <x v="92"/>
    <x v="275"/>
    <x v="55"/>
    <x v="235"/>
    <x v="0"/>
  </r>
  <r>
    <x v="0"/>
    <x v="19"/>
    <x v="19"/>
    <x v="7"/>
    <x v="7"/>
    <x v="7"/>
    <x v="12"/>
    <x v="52"/>
    <x v="162"/>
    <x v="84"/>
    <x v="238"/>
    <x v="64"/>
    <x v="101"/>
    <x v="0"/>
  </r>
  <r>
    <x v="0"/>
    <x v="19"/>
    <x v="19"/>
    <x v="4"/>
    <x v="4"/>
    <x v="4"/>
    <x v="14"/>
    <x v="80"/>
    <x v="137"/>
    <x v="105"/>
    <x v="168"/>
    <x v="59"/>
    <x v="85"/>
    <x v="0"/>
  </r>
  <r>
    <x v="0"/>
    <x v="19"/>
    <x v="19"/>
    <x v="17"/>
    <x v="17"/>
    <x v="17"/>
    <x v="15"/>
    <x v="91"/>
    <x v="181"/>
    <x v="142"/>
    <x v="276"/>
    <x v="57"/>
    <x v="236"/>
    <x v="0"/>
  </r>
  <r>
    <x v="0"/>
    <x v="19"/>
    <x v="19"/>
    <x v="5"/>
    <x v="5"/>
    <x v="5"/>
    <x v="15"/>
    <x v="91"/>
    <x v="181"/>
    <x v="63"/>
    <x v="81"/>
    <x v="83"/>
    <x v="139"/>
    <x v="0"/>
  </r>
  <r>
    <x v="0"/>
    <x v="19"/>
    <x v="19"/>
    <x v="19"/>
    <x v="19"/>
    <x v="19"/>
    <x v="17"/>
    <x v="81"/>
    <x v="33"/>
    <x v="111"/>
    <x v="277"/>
    <x v="43"/>
    <x v="212"/>
    <x v="0"/>
  </r>
  <r>
    <x v="0"/>
    <x v="19"/>
    <x v="19"/>
    <x v="13"/>
    <x v="13"/>
    <x v="13"/>
    <x v="18"/>
    <x v="65"/>
    <x v="90"/>
    <x v="92"/>
    <x v="275"/>
    <x v="48"/>
    <x v="163"/>
    <x v="0"/>
  </r>
  <r>
    <x v="0"/>
    <x v="19"/>
    <x v="19"/>
    <x v="16"/>
    <x v="16"/>
    <x v="16"/>
    <x v="19"/>
    <x v="107"/>
    <x v="182"/>
    <x v="153"/>
    <x v="166"/>
    <x v="66"/>
    <x v="171"/>
    <x v="0"/>
  </r>
  <r>
    <x v="0"/>
    <x v="20"/>
    <x v="20"/>
    <x v="0"/>
    <x v="0"/>
    <x v="0"/>
    <x v="0"/>
    <x v="212"/>
    <x v="39"/>
    <x v="176"/>
    <x v="278"/>
    <x v="55"/>
    <x v="237"/>
    <x v="0"/>
  </r>
  <r>
    <x v="0"/>
    <x v="20"/>
    <x v="20"/>
    <x v="1"/>
    <x v="1"/>
    <x v="1"/>
    <x v="1"/>
    <x v="213"/>
    <x v="207"/>
    <x v="42"/>
    <x v="279"/>
    <x v="132"/>
    <x v="238"/>
    <x v="0"/>
  </r>
  <r>
    <x v="0"/>
    <x v="20"/>
    <x v="20"/>
    <x v="2"/>
    <x v="2"/>
    <x v="2"/>
    <x v="2"/>
    <x v="166"/>
    <x v="208"/>
    <x v="101"/>
    <x v="280"/>
    <x v="59"/>
    <x v="128"/>
    <x v="0"/>
  </r>
  <r>
    <x v="0"/>
    <x v="20"/>
    <x v="20"/>
    <x v="4"/>
    <x v="4"/>
    <x v="4"/>
    <x v="3"/>
    <x v="214"/>
    <x v="189"/>
    <x v="177"/>
    <x v="281"/>
    <x v="66"/>
    <x v="87"/>
    <x v="0"/>
  </r>
  <r>
    <x v="0"/>
    <x v="20"/>
    <x v="20"/>
    <x v="6"/>
    <x v="6"/>
    <x v="6"/>
    <x v="4"/>
    <x v="184"/>
    <x v="209"/>
    <x v="110"/>
    <x v="282"/>
    <x v="74"/>
    <x v="239"/>
    <x v="0"/>
  </r>
  <r>
    <x v="0"/>
    <x v="20"/>
    <x v="20"/>
    <x v="5"/>
    <x v="5"/>
    <x v="5"/>
    <x v="5"/>
    <x v="215"/>
    <x v="210"/>
    <x v="178"/>
    <x v="143"/>
    <x v="77"/>
    <x v="76"/>
    <x v="0"/>
  </r>
  <r>
    <x v="0"/>
    <x v="20"/>
    <x v="20"/>
    <x v="7"/>
    <x v="7"/>
    <x v="7"/>
    <x v="6"/>
    <x v="216"/>
    <x v="64"/>
    <x v="83"/>
    <x v="283"/>
    <x v="76"/>
    <x v="181"/>
    <x v="0"/>
  </r>
  <r>
    <x v="0"/>
    <x v="20"/>
    <x v="20"/>
    <x v="10"/>
    <x v="10"/>
    <x v="10"/>
    <x v="7"/>
    <x v="74"/>
    <x v="144"/>
    <x v="46"/>
    <x v="284"/>
    <x v="25"/>
    <x v="240"/>
    <x v="0"/>
  </r>
  <r>
    <x v="0"/>
    <x v="20"/>
    <x v="20"/>
    <x v="3"/>
    <x v="3"/>
    <x v="3"/>
    <x v="8"/>
    <x v="44"/>
    <x v="107"/>
    <x v="29"/>
    <x v="285"/>
    <x v="45"/>
    <x v="241"/>
    <x v="0"/>
  </r>
  <r>
    <x v="0"/>
    <x v="20"/>
    <x v="20"/>
    <x v="11"/>
    <x v="11"/>
    <x v="11"/>
    <x v="9"/>
    <x v="217"/>
    <x v="211"/>
    <x v="65"/>
    <x v="216"/>
    <x v="89"/>
    <x v="11"/>
    <x v="0"/>
  </r>
  <r>
    <x v="0"/>
    <x v="20"/>
    <x v="20"/>
    <x v="37"/>
    <x v="37"/>
    <x v="37"/>
    <x v="10"/>
    <x v="173"/>
    <x v="162"/>
    <x v="49"/>
    <x v="286"/>
    <x v="109"/>
    <x v="242"/>
    <x v="0"/>
  </r>
  <r>
    <x v="0"/>
    <x v="20"/>
    <x v="20"/>
    <x v="9"/>
    <x v="9"/>
    <x v="9"/>
    <x v="11"/>
    <x v="175"/>
    <x v="110"/>
    <x v="58"/>
    <x v="80"/>
    <x v="83"/>
    <x v="158"/>
    <x v="0"/>
  </r>
  <r>
    <x v="0"/>
    <x v="20"/>
    <x v="20"/>
    <x v="18"/>
    <x v="18"/>
    <x v="18"/>
    <x v="12"/>
    <x v="46"/>
    <x v="212"/>
    <x v="179"/>
    <x v="287"/>
    <x v="73"/>
    <x v="93"/>
    <x v="0"/>
  </r>
  <r>
    <x v="0"/>
    <x v="20"/>
    <x v="20"/>
    <x v="17"/>
    <x v="17"/>
    <x v="17"/>
    <x v="13"/>
    <x v="76"/>
    <x v="32"/>
    <x v="125"/>
    <x v="288"/>
    <x v="109"/>
    <x v="242"/>
    <x v="0"/>
  </r>
  <r>
    <x v="0"/>
    <x v="20"/>
    <x v="20"/>
    <x v="8"/>
    <x v="8"/>
    <x v="8"/>
    <x v="13"/>
    <x v="76"/>
    <x v="32"/>
    <x v="95"/>
    <x v="227"/>
    <x v="79"/>
    <x v="243"/>
    <x v="0"/>
  </r>
  <r>
    <x v="0"/>
    <x v="20"/>
    <x v="20"/>
    <x v="14"/>
    <x v="14"/>
    <x v="14"/>
    <x v="13"/>
    <x v="76"/>
    <x v="32"/>
    <x v="100"/>
    <x v="232"/>
    <x v="82"/>
    <x v="244"/>
    <x v="0"/>
  </r>
  <r>
    <x v="0"/>
    <x v="20"/>
    <x v="20"/>
    <x v="24"/>
    <x v="24"/>
    <x v="24"/>
    <x v="16"/>
    <x v="105"/>
    <x v="77"/>
    <x v="65"/>
    <x v="216"/>
    <x v="72"/>
    <x v="101"/>
    <x v="0"/>
  </r>
  <r>
    <x v="0"/>
    <x v="20"/>
    <x v="20"/>
    <x v="12"/>
    <x v="12"/>
    <x v="12"/>
    <x v="17"/>
    <x v="110"/>
    <x v="92"/>
    <x v="52"/>
    <x v="289"/>
    <x v="123"/>
    <x v="245"/>
    <x v="0"/>
  </r>
  <r>
    <x v="0"/>
    <x v="20"/>
    <x v="20"/>
    <x v="16"/>
    <x v="16"/>
    <x v="16"/>
    <x v="18"/>
    <x v="134"/>
    <x v="149"/>
    <x v="125"/>
    <x v="288"/>
    <x v="42"/>
    <x v="246"/>
    <x v="0"/>
  </r>
  <r>
    <x v="0"/>
    <x v="20"/>
    <x v="20"/>
    <x v="49"/>
    <x v="49"/>
    <x v="49"/>
    <x v="19"/>
    <x v="50"/>
    <x v="34"/>
    <x v="46"/>
    <x v="284"/>
    <x v="42"/>
    <x v="246"/>
    <x v="0"/>
  </r>
  <r>
    <x v="0"/>
    <x v="21"/>
    <x v="21"/>
    <x v="0"/>
    <x v="0"/>
    <x v="0"/>
    <x v="0"/>
    <x v="78"/>
    <x v="213"/>
    <x v="45"/>
    <x v="290"/>
    <x v="59"/>
    <x v="247"/>
    <x v="0"/>
  </r>
  <r>
    <x v="0"/>
    <x v="21"/>
    <x v="21"/>
    <x v="6"/>
    <x v="6"/>
    <x v="6"/>
    <x v="1"/>
    <x v="189"/>
    <x v="214"/>
    <x v="167"/>
    <x v="291"/>
    <x v="83"/>
    <x v="24"/>
    <x v="0"/>
  </r>
  <r>
    <x v="0"/>
    <x v="21"/>
    <x v="21"/>
    <x v="1"/>
    <x v="1"/>
    <x v="1"/>
    <x v="2"/>
    <x v="100"/>
    <x v="188"/>
    <x v="46"/>
    <x v="292"/>
    <x v="58"/>
    <x v="248"/>
    <x v="0"/>
  </r>
  <r>
    <x v="0"/>
    <x v="21"/>
    <x v="21"/>
    <x v="3"/>
    <x v="3"/>
    <x v="3"/>
    <x v="3"/>
    <x v="192"/>
    <x v="215"/>
    <x v="153"/>
    <x v="223"/>
    <x v="59"/>
    <x v="247"/>
    <x v="0"/>
  </r>
  <r>
    <x v="0"/>
    <x v="21"/>
    <x v="21"/>
    <x v="2"/>
    <x v="2"/>
    <x v="2"/>
    <x v="3"/>
    <x v="192"/>
    <x v="215"/>
    <x v="111"/>
    <x v="293"/>
    <x v="65"/>
    <x v="239"/>
    <x v="0"/>
  </r>
  <r>
    <x v="0"/>
    <x v="21"/>
    <x v="21"/>
    <x v="11"/>
    <x v="11"/>
    <x v="11"/>
    <x v="5"/>
    <x v="195"/>
    <x v="25"/>
    <x v="46"/>
    <x v="292"/>
    <x v="76"/>
    <x v="40"/>
    <x v="0"/>
  </r>
  <r>
    <x v="0"/>
    <x v="21"/>
    <x v="21"/>
    <x v="9"/>
    <x v="9"/>
    <x v="9"/>
    <x v="5"/>
    <x v="195"/>
    <x v="25"/>
    <x v="106"/>
    <x v="143"/>
    <x v="84"/>
    <x v="91"/>
    <x v="0"/>
  </r>
  <r>
    <x v="0"/>
    <x v="21"/>
    <x v="21"/>
    <x v="5"/>
    <x v="5"/>
    <x v="5"/>
    <x v="5"/>
    <x v="195"/>
    <x v="25"/>
    <x v="109"/>
    <x v="96"/>
    <x v="64"/>
    <x v="249"/>
    <x v="0"/>
  </r>
  <r>
    <x v="0"/>
    <x v="21"/>
    <x v="21"/>
    <x v="10"/>
    <x v="10"/>
    <x v="10"/>
    <x v="8"/>
    <x v="197"/>
    <x v="27"/>
    <x v="51"/>
    <x v="13"/>
    <x v="43"/>
    <x v="250"/>
    <x v="0"/>
  </r>
  <r>
    <x v="0"/>
    <x v="21"/>
    <x v="21"/>
    <x v="18"/>
    <x v="18"/>
    <x v="18"/>
    <x v="9"/>
    <x v="199"/>
    <x v="87"/>
    <x v="100"/>
    <x v="294"/>
    <x v="67"/>
    <x v="251"/>
    <x v="0"/>
  </r>
  <r>
    <x v="0"/>
    <x v="21"/>
    <x v="21"/>
    <x v="17"/>
    <x v="17"/>
    <x v="17"/>
    <x v="10"/>
    <x v="218"/>
    <x v="107"/>
    <x v="62"/>
    <x v="295"/>
    <x v="45"/>
    <x v="252"/>
    <x v="0"/>
  </r>
  <r>
    <x v="0"/>
    <x v="21"/>
    <x v="21"/>
    <x v="8"/>
    <x v="8"/>
    <x v="8"/>
    <x v="10"/>
    <x v="218"/>
    <x v="107"/>
    <x v="52"/>
    <x v="296"/>
    <x v="74"/>
    <x v="253"/>
    <x v="0"/>
  </r>
  <r>
    <x v="0"/>
    <x v="21"/>
    <x v="21"/>
    <x v="50"/>
    <x v="50"/>
    <x v="50"/>
    <x v="12"/>
    <x v="202"/>
    <x v="30"/>
    <x v="53"/>
    <x v="297"/>
    <x v="81"/>
    <x v="192"/>
    <x v="0"/>
  </r>
  <r>
    <x v="0"/>
    <x v="21"/>
    <x v="21"/>
    <x v="7"/>
    <x v="7"/>
    <x v="7"/>
    <x v="12"/>
    <x v="202"/>
    <x v="30"/>
    <x v="125"/>
    <x v="298"/>
    <x v="84"/>
    <x v="91"/>
    <x v="0"/>
  </r>
  <r>
    <x v="0"/>
    <x v="21"/>
    <x v="21"/>
    <x v="4"/>
    <x v="4"/>
    <x v="4"/>
    <x v="12"/>
    <x v="202"/>
    <x v="30"/>
    <x v="99"/>
    <x v="190"/>
    <x v="74"/>
    <x v="253"/>
    <x v="0"/>
  </r>
  <r>
    <x v="0"/>
    <x v="21"/>
    <x v="21"/>
    <x v="15"/>
    <x v="15"/>
    <x v="15"/>
    <x v="15"/>
    <x v="204"/>
    <x v="181"/>
    <x v="54"/>
    <x v="234"/>
    <x v="77"/>
    <x v="83"/>
    <x v="0"/>
  </r>
  <r>
    <x v="0"/>
    <x v="21"/>
    <x v="21"/>
    <x v="28"/>
    <x v="28"/>
    <x v="28"/>
    <x v="15"/>
    <x v="204"/>
    <x v="181"/>
    <x v="69"/>
    <x v="299"/>
    <x v="59"/>
    <x v="247"/>
    <x v="0"/>
  </r>
  <r>
    <x v="0"/>
    <x v="21"/>
    <x v="21"/>
    <x v="13"/>
    <x v="13"/>
    <x v="13"/>
    <x v="15"/>
    <x v="204"/>
    <x v="181"/>
    <x v="52"/>
    <x v="296"/>
    <x v="83"/>
    <x v="24"/>
    <x v="0"/>
  </r>
  <r>
    <x v="0"/>
    <x v="21"/>
    <x v="21"/>
    <x v="16"/>
    <x v="16"/>
    <x v="16"/>
    <x v="18"/>
    <x v="205"/>
    <x v="89"/>
    <x v="47"/>
    <x v="138"/>
    <x v="87"/>
    <x v="43"/>
    <x v="0"/>
  </r>
  <r>
    <x v="0"/>
    <x v="21"/>
    <x v="21"/>
    <x v="49"/>
    <x v="49"/>
    <x v="49"/>
    <x v="19"/>
    <x v="206"/>
    <x v="182"/>
    <x v="97"/>
    <x v="300"/>
    <x v="72"/>
    <x v="131"/>
    <x v="0"/>
  </r>
  <r>
    <x v="0"/>
    <x v="21"/>
    <x v="21"/>
    <x v="19"/>
    <x v="19"/>
    <x v="19"/>
    <x v="19"/>
    <x v="206"/>
    <x v="182"/>
    <x v="62"/>
    <x v="295"/>
    <x v="59"/>
    <x v="247"/>
    <x v="0"/>
  </r>
  <r>
    <x v="0"/>
    <x v="22"/>
    <x v="22"/>
    <x v="0"/>
    <x v="0"/>
    <x v="0"/>
    <x v="0"/>
    <x v="106"/>
    <x v="216"/>
    <x v="63"/>
    <x v="301"/>
    <x v="72"/>
    <x v="254"/>
    <x v="0"/>
  </r>
  <r>
    <x v="0"/>
    <x v="22"/>
    <x v="22"/>
    <x v="51"/>
    <x v="51"/>
    <x v="51"/>
    <x v="1"/>
    <x v="52"/>
    <x v="217"/>
    <x v="67"/>
    <x v="159"/>
    <x v="79"/>
    <x v="255"/>
    <x v="0"/>
  </r>
  <r>
    <x v="0"/>
    <x v="22"/>
    <x v="22"/>
    <x v="6"/>
    <x v="6"/>
    <x v="6"/>
    <x v="2"/>
    <x v="67"/>
    <x v="218"/>
    <x v="68"/>
    <x v="302"/>
    <x v="84"/>
    <x v="91"/>
    <x v="0"/>
  </r>
  <r>
    <x v="0"/>
    <x v="22"/>
    <x v="22"/>
    <x v="52"/>
    <x v="52"/>
    <x v="52"/>
    <x v="3"/>
    <x v="68"/>
    <x v="219"/>
    <x v="106"/>
    <x v="303"/>
    <x v="81"/>
    <x v="256"/>
    <x v="0"/>
  </r>
  <r>
    <x v="0"/>
    <x v="22"/>
    <x v="22"/>
    <x v="3"/>
    <x v="3"/>
    <x v="3"/>
    <x v="4"/>
    <x v="112"/>
    <x v="115"/>
    <x v="49"/>
    <x v="233"/>
    <x v="61"/>
    <x v="237"/>
    <x v="0"/>
  </r>
  <r>
    <x v="0"/>
    <x v="22"/>
    <x v="22"/>
    <x v="11"/>
    <x v="11"/>
    <x v="11"/>
    <x v="5"/>
    <x v="100"/>
    <x v="26"/>
    <x v="125"/>
    <x v="140"/>
    <x v="48"/>
    <x v="245"/>
    <x v="0"/>
  </r>
  <r>
    <x v="0"/>
    <x v="22"/>
    <x v="22"/>
    <x v="16"/>
    <x v="16"/>
    <x v="16"/>
    <x v="6"/>
    <x v="219"/>
    <x v="220"/>
    <x v="96"/>
    <x v="304"/>
    <x v="57"/>
    <x v="257"/>
    <x v="0"/>
  </r>
  <r>
    <x v="0"/>
    <x v="22"/>
    <x v="22"/>
    <x v="10"/>
    <x v="10"/>
    <x v="10"/>
    <x v="7"/>
    <x v="193"/>
    <x v="65"/>
    <x v="97"/>
    <x v="208"/>
    <x v="63"/>
    <x v="258"/>
    <x v="0"/>
  </r>
  <r>
    <x v="0"/>
    <x v="22"/>
    <x v="22"/>
    <x v="53"/>
    <x v="53"/>
    <x v="53"/>
    <x v="7"/>
    <x v="193"/>
    <x v="65"/>
    <x v="106"/>
    <x v="303"/>
    <x v="83"/>
    <x v="109"/>
    <x v="0"/>
  </r>
  <r>
    <x v="0"/>
    <x v="22"/>
    <x v="22"/>
    <x v="8"/>
    <x v="8"/>
    <x v="8"/>
    <x v="9"/>
    <x v="196"/>
    <x v="221"/>
    <x v="46"/>
    <x v="103"/>
    <x v="59"/>
    <x v="227"/>
    <x v="0"/>
  </r>
  <r>
    <x v="0"/>
    <x v="22"/>
    <x v="22"/>
    <x v="7"/>
    <x v="7"/>
    <x v="7"/>
    <x v="10"/>
    <x v="197"/>
    <x v="48"/>
    <x v="153"/>
    <x v="95"/>
    <x v="65"/>
    <x v="160"/>
    <x v="0"/>
  </r>
  <r>
    <x v="0"/>
    <x v="22"/>
    <x v="22"/>
    <x v="17"/>
    <x v="17"/>
    <x v="17"/>
    <x v="11"/>
    <x v="198"/>
    <x v="146"/>
    <x v="154"/>
    <x v="305"/>
    <x v="61"/>
    <x v="237"/>
    <x v="0"/>
  </r>
  <r>
    <x v="0"/>
    <x v="22"/>
    <x v="22"/>
    <x v="54"/>
    <x v="54"/>
    <x v="54"/>
    <x v="11"/>
    <x v="198"/>
    <x v="146"/>
    <x v="81"/>
    <x v="306"/>
    <x v="72"/>
    <x v="254"/>
    <x v="0"/>
  </r>
  <r>
    <x v="0"/>
    <x v="22"/>
    <x v="22"/>
    <x v="42"/>
    <x v="42"/>
    <x v="42"/>
    <x v="11"/>
    <x v="198"/>
    <x v="146"/>
    <x v="99"/>
    <x v="307"/>
    <x v="76"/>
    <x v="15"/>
    <x v="0"/>
  </r>
  <r>
    <x v="0"/>
    <x v="22"/>
    <x v="22"/>
    <x v="1"/>
    <x v="1"/>
    <x v="1"/>
    <x v="14"/>
    <x v="199"/>
    <x v="66"/>
    <x v="54"/>
    <x v="120"/>
    <x v="58"/>
    <x v="259"/>
    <x v="0"/>
  </r>
  <r>
    <x v="0"/>
    <x v="22"/>
    <x v="22"/>
    <x v="2"/>
    <x v="2"/>
    <x v="2"/>
    <x v="15"/>
    <x v="218"/>
    <x v="138"/>
    <x v="48"/>
    <x v="308"/>
    <x v="84"/>
    <x v="91"/>
    <x v="0"/>
  </r>
  <r>
    <x v="0"/>
    <x v="22"/>
    <x v="22"/>
    <x v="5"/>
    <x v="5"/>
    <x v="5"/>
    <x v="15"/>
    <x v="218"/>
    <x v="138"/>
    <x v="125"/>
    <x v="140"/>
    <x v="65"/>
    <x v="160"/>
    <x v="0"/>
  </r>
  <r>
    <x v="0"/>
    <x v="22"/>
    <x v="22"/>
    <x v="4"/>
    <x v="4"/>
    <x v="4"/>
    <x v="17"/>
    <x v="202"/>
    <x v="14"/>
    <x v="96"/>
    <x v="304"/>
    <x v="59"/>
    <x v="227"/>
    <x v="0"/>
  </r>
  <r>
    <x v="0"/>
    <x v="22"/>
    <x v="22"/>
    <x v="13"/>
    <x v="13"/>
    <x v="13"/>
    <x v="18"/>
    <x v="203"/>
    <x v="34"/>
    <x v="99"/>
    <x v="307"/>
    <x v="67"/>
    <x v="260"/>
    <x v="7"/>
  </r>
  <r>
    <x v="0"/>
    <x v="22"/>
    <x v="22"/>
    <x v="19"/>
    <x v="19"/>
    <x v="19"/>
    <x v="18"/>
    <x v="203"/>
    <x v="34"/>
    <x v="69"/>
    <x v="37"/>
    <x v="76"/>
    <x v="15"/>
    <x v="0"/>
  </r>
  <r>
    <x v="0"/>
    <x v="23"/>
    <x v="23"/>
    <x v="1"/>
    <x v="1"/>
    <x v="1"/>
    <x v="0"/>
    <x v="220"/>
    <x v="222"/>
    <x v="56"/>
    <x v="309"/>
    <x v="102"/>
    <x v="261"/>
    <x v="0"/>
  </r>
  <r>
    <x v="0"/>
    <x v="23"/>
    <x v="23"/>
    <x v="0"/>
    <x v="0"/>
    <x v="0"/>
    <x v="1"/>
    <x v="56"/>
    <x v="139"/>
    <x v="180"/>
    <x v="310"/>
    <x v="43"/>
    <x v="159"/>
    <x v="0"/>
  </r>
  <r>
    <x v="0"/>
    <x v="23"/>
    <x v="23"/>
    <x v="10"/>
    <x v="10"/>
    <x v="10"/>
    <x v="2"/>
    <x v="87"/>
    <x v="41"/>
    <x v="106"/>
    <x v="311"/>
    <x v="25"/>
    <x v="262"/>
    <x v="0"/>
  </r>
  <r>
    <x v="0"/>
    <x v="23"/>
    <x v="23"/>
    <x v="4"/>
    <x v="4"/>
    <x v="4"/>
    <x v="3"/>
    <x v="221"/>
    <x v="84"/>
    <x v="29"/>
    <x v="312"/>
    <x v="92"/>
    <x v="263"/>
    <x v="0"/>
  </r>
  <r>
    <x v="0"/>
    <x v="23"/>
    <x v="23"/>
    <x v="5"/>
    <x v="5"/>
    <x v="5"/>
    <x v="4"/>
    <x v="211"/>
    <x v="223"/>
    <x v="181"/>
    <x v="313"/>
    <x v="59"/>
    <x v="55"/>
    <x v="0"/>
  </r>
  <r>
    <x v="0"/>
    <x v="23"/>
    <x v="23"/>
    <x v="12"/>
    <x v="12"/>
    <x v="12"/>
    <x v="5"/>
    <x v="96"/>
    <x v="143"/>
    <x v="47"/>
    <x v="12"/>
    <x v="129"/>
    <x v="240"/>
    <x v="0"/>
  </r>
  <r>
    <x v="0"/>
    <x v="23"/>
    <x v="23"/>
    <x v="3"/>
    <x v="3"/>
    <x v="3"/>
    <x v="6"/>
    <x v="77"/>
    <x v="134"/>
    <x v="88"/>
    <x v="160"/>
    <x v="45"/>
    <x v="216"/>
    <x v="0"/>
  </r>
  <r>
    <x v="0"/>
    <x v="23"/>
    <x v="23"/>
    <x v="8"/>
    <x v="8"/>
    <x v="8"/>
    <x v="7"/>
    <x v="63"/>
    <x v="178"/>
    <x v="78"/>
    <x v="314"/>
    <x v="63"/>
    <x v="253"/>
    <x v="0"/>
  </r>
  <r>
    <x v="0"/>
    <x v="23"/>
    <x v="23"/>
    <x v="21"/>
    <x v="21"/>
    <x v="21"/>
    <x v="7"/>
    <x v="63"/>
    <x v="178"/>
    <x v="50"/>
    <x v="249"/>
    <x v="141"/>
    <x v="264"/>
    <x v="7"/>
  </r>
  <r>
    <x v="0"/>
    <x v="23"/>
    <x v="23"/>
    <x v="2"/>
    <x v="2"/>
    <x v="2"/>
    <x v="9"/>
    <x v="48"/>
    <x v="224"/>
    <x v="179"/>
    <x v="115"/>
    <x v="76"/>
    <x v="25"/>
    <x v="0"/>
  </r>
  <r>
    <x v="0"/>
    <x v="23"/>
    <x v="23"/>
    <x v="14"/>
    <x v="14"/>
    <x v="14"/>
    <x v="10"/>
    <x v="53"/>
    <x v="136"/>
    <x v="96"/>
    <x v="16"/>
    <x v="23"/>
    <x v="124"/>
    <x v="0"/>
  </r>
  <r>
    <x v="0"/>
    <x v="23"/>
    <x v="23"/>
    <x v="7"/>
    <x v="7"/>
    <x v="7"/>
    <x v="11"/>
    <x v="79"/>
    <x v="153"/>
    <x v="114"/>
    <x v="233"/>
    <x v="67"/>
    <x v="75"/>
    <x v="0"/>
  </r>
  <r>
    <x v="0"/>
    <x v="23"/>
    <x v="23"/>
    <x v="15"/>
    <x v="15"/>
    <x v="15"/>
    <x v="12"/>
    <x v="98"/>
    <x v="154"/>
    <x v="82"/>
    <x v="161"/>
    <x v="60"/>
    <x v="163"/>
    <x v="0"/>
  </r>
  <r>
    <x v="0"/>
    <x v="23"/>
    <x v="23"/>
    <x v="6"/>
    <x v="6"/>
    <x v="6"/>
    <x v="12"/>
    <x v="98"/>
    <x v="154"/>
    <x v="63"/>
    <x v="315"/>
    <x v="74"/>
    <x v="215"/>
    <x v="0"/>
  </r>
  <r>
    <x v="0"/>
    <x v="23"/>
    <x v="23"/>
    <x v="23"/>
    <x v="23"/>
    <x v="23"/>
    <x v="14"/>
    <x v="91"/>
    <x v="33"/>
    <x v="46"/>
    <x v="37"/>
    <x v="142"/>
    <x v="187"/>
    <x v="0"/>
  </r>
  <r>
    <x v="0"/>
    <x v="23"/>
    <x v="23"/>
    <x v="18"/>
    <x v="18"/>
    <x v="18"/>
    <x v="15"/>
    <x v="55"/>
    <x v="89"/>
    <x v="167"/>
    <x v="316"/>
    <x v="48"/>
    <x v="85"/>
    <x v="7"/>
  </r>
  <r>
    <x v="0"/>
    <x v="23"/>
    <x v="23"/>
    <x v="11"/>
    <x v="11"/>
    <x v="11"/>
    <x v="16"/>
    <x v="65"/>
    <x v="182"/>
    <x v="169"/>
    <x v="274"/>
    <x v="73"/>
    <x v="237"/>
    <x v="0"/>
  </r>
  <r>
    <x v="0"/>
    <x v="23"/>
    <x v="23"/>
    <x v="28"/>
    <x v="28"/>
    <x v="28"/>
    <x v="17"/>
    <x v="83"/>
    <x v="15"/>
    <x v="67"/>
    <x v="317"/>
    <x v="73"/>
    <x v="237"/>
    <x v="0"/>
  </r>
  <r>
    <x v="0"/>
    <x v="23"/>
    <x v="23"/>
    <x v="55"/>
    <x v="55"/>
    <x v="55"/>
    <x v="18"/>
    <x v="67"/>
    <x v="149"/>
    <x v="50"/>
    <x v="249"/>
    <x v="88"/>
    <x v="265"/>
    <x v="0"/>
  </r>
  <r>
    <x v="0"/>
    <x v="23"/>
    <x v="23"/>
    <x v="13"/>
    <x v="13"/>
    <x v="13"/>
    <x v="19"/>
    <x v="68"/>
    <x v="17"/>
    <x v="108"/>
    <x v="318"/>
    <x v="44"/>
    <x v="117"/>
    <x v="0"/>
  </r>
  <r>
    <x v="0"/>
    <x v="24"/>
    <x v="24"/>
    <x v="56"/>
    <x v="56"/>
    <x v="56"/>
    <x v="0"/>
    <x v="222"/>
    <x v="225"/>
    <x v="77"/>
    <x v="319"/>
    <x v="94"/>
    <x v="266"/>
    <x v="0"/>
  </r>
  <r>
    <x v="0"/>
    <x v="24"/>
    <x v="24"/>
    <x v="0"/>
    <x v="0"/>
    <x v="0"/>
    <x v="1"/>
    <x v="223"/>
    <x v="226"/>
    <x v="182"/>
    <x v="320"/>
    <x v="67"/>
    <x v="2"/>
    <x v="0"/>
  </r>
  <r>
    <x v="0"/>
    <x v="24"/>
    <x v="24"/>
    <x v="41"/>
    <x v="41"/>
    <x v="41"/>
    <x v="2"/>
    <x v="52"/>
    <x v="227"/>
    <x v="82"/>
    <x v="8"/>
    <x v="41"/>
    <x v="183"/>
    <x v="0"/>
  </r>
  <r>
    <x v="0"/>
    <x v="24"/>
    <x v="24"/>
    <x v="6"/>
    <x v="6"/>
    <x v="6"/>
    <x v="3"/>
    <x v="53"/>
    <x v="228"/>
    <x v="127"/>
    <x v="321"/>
    <x v="65"/>
    <x v="9"/>
    <x v="0"/>
  </r>
  <r>
    <x v="0"/>
    <x v="24"/>
    <x v="24"/>
    <x v="2"/>
    <x v="2"/>
    <x v="2"/>
    <x v="4"/>
    <x v="79"/>
    <x v="189"/>
    <x v="84"/>
    <x v="174"/>
    <x v="83"/>
    <x v="6"/>
    <x v="0"/>
  </r>
  <r>
    <x v="0"/>
    <x v="24"/>
    <x v="24"/>
    <x v="10"/>
    <x v="10"/>
    <x v="10"/>
    <x v="5"/>
    <x v="91"/>
    <x v="229"/>
    <x v="81"/>
    <x v="322"/>
    <x v="131"/>
    <x v="267"/>
    <x v="0"/>
  </r>
  <r>
    <x v="0"/>
    <x v="24"/>
    <x v="24"/>
    <x v="3"/>
    <x v="3"/>
    <x v="3"/>
    <x v="6"/>
    <x v="81"/>
    <x v="132"/>
    <x v="56"/>
    <x v="94"/>
    <x v="64"/>
    <x v="118"/>
    <x v="0"/>
  </r>
  <r>
    <x v="0"/>
    <x v="24"/>
    <x v="24"/>
    <x v="11"/>
    <x v="11"/>
    <x v="11"/>
    <x v="7"/>
    <x v="67"/>
    <x v="63"/>
    <x v="108"/>
    <x v="215"/>
    <x v="73"/>
    <x v="152"/>
    <x v="0"/>
  </r>
  <r>
    <x v="0"/>
    <x v="24"/>
    <x v="24"/>
    <x v="4"/>
    <x v="4"/>
    <x v="4"/>
    <x v="8"/>
    <x v="190"/>
    <x v="29"/>
    <x v="55"/>
    <x v="101"/>
    <x v="76"/>
    <x v="268"/>
    <x v="0"/>
  </r>
  <r>
    <x v="0"/>
    <x v="24"/>
    <x v="24"/>
    <x v="16"/>
    <x v="16"/>
    <x v="16"/>
    <x v="9"/>
    <x v="99"/>
    <x v="230"/>
    <x v="99"/>
    <x v="323"/>
    <x v="73"/>
    <x v="152"/>
    <x v="0"/>
  </r>
  <r>
    <x v="0"/>
    <x v="24"/>
    <x v="24"/>
    <x v="8"/>
    <x v="8"/>
    <x v="8"/>
    <x v="10"/>
    <x v="101"/>
    <x v="31"/>
    <x v="46"/>
    <x v="55"/>
    <x v="58"/>
    <x v="269"/>
    <x v="0"/>
  </r>
  <r>
    <x v="0"/>
    <x v="24"/>
    <x v="24"/>
    <x v="42"/>
    <x v="42"/>
    <x v="42"/>
    <x v="10"/>
    <x v="101"/>
    <x v="31"/>
    <x v="169"/>
    <x v="180"/>
    <x v="64"/>
    <x v="118"/>
    <x v="0"/>
  </r>
  <r>
    <x v="0"/>
    <x v="24"/>
    <x v="24"/>
    <x v="5"/>
    <x v="5"/>
    <x v="5"/>
    <x v="12"/>
    <x v="191"/>
    <x v="111"/>
    <x v="169"/>
    <x v="180"/>
    <x v="67"/>
    <x v="2"/>
    <x v="0"/>
  </r>
  <r>
    <x v="0"/>
    <x v="24"/>
    <x v="24"/>
    <x v="1"/>
    <x v="1"/>
    <x v="1"/>
    <x v="13"/>
    <x v="194"/>
    <x v="231"/>
    <x v="51"/>
    <x v="324"/>
    <x v="55"/>
    <x v="208"/>
    <x v="0"/>
  </r>
  <r>
    <x v="0"/>
    <x v="24"/>
    <x v="24"/>
    <x v="13"/>
    <x v="13"/>
    <x v="13"/>
    <x v="14"/>
    <x v="195"/>
    <x v="14"/>
    <x v="48"/>
    <x v="325"/>
    <x v="64"/>
    <x v="118"/>
    <x v="7"/>
  </r>
  <r>
    <x v="0"/>
    <x v="24"/>
    <x v="24"/>
    <x v="7"/>
    <x v="7"/>
    <x v="7"/>
    <x v="14"/>
    <x v="195"/>
    <x v="14"/>
    <x v="108"/>
    <x v="215"/>
    <x v="83"/>
    <x v="6"/>
    <x v="0"/>
  </r>
  <r>
    <x v="0"/>
    <x v="24"/>
    <x v="24"/>
    <x v="37"/>
    <x v="37"/>
    <x v="37"/>
    <x v="16"/>
    <x v="196"/>
    <x v="67"/>
    <x v="52"/>
    <x v="326"/>
    <x v="72"/>
    <x v="179"/>
    <x v="0"/>
  </r>
  <r>
    <x v="0"/>
    <x v="24"/>
    <x v="24"/>
    <x v="49"/>
    <x v="49"/>
    <x v="49"/>
    <x v="17"/>
    <x v="197"/>
    <x v="78"/>
    <x v="52"/>
    <x v="326"/>
    <x v="76"/>
    <x v="268"/>
    <x v="0"/>
  </r>
  <r>
    <x v="0"/>
    <x v="24"/>
    <x v="24"/>
    <x v="18"/>
    <x v="18"/>
    <x v="18"/>
    <x v="17"/>
    <x v="197"/>
    <x v="78"/>
    <x v="46"/>
    <x v="55"/>
    <x v="61"/>
    <x v="270"/>
    <x v="0"/>
  </r>
  <r>
    <x v="0"/>
    <x v="24"/>
    <x v="24"/>
    <x v="17"/>
    <x v="17"/>
    <x v="17"/>
    <x v="19"/>
    <x v="199"/>
    <x v="35"/>
    <x v="98"/>
    <x v="327"/>
    <x v="77"/>
    <x v="271"/>
    <x v="0"/>
  </r>
  <r>
    <x v="0"/>
    <x v="24"/>
    <x v="24"/>
    <x v="9"/>
    <x v="9"/>
    <x v="9"/>
    <x v="19"/>
    <x v="199"/>
    <x v="35"/>
    <x v="109"/>
    <x v="32"/>
    <x v="84"/>
    <x v="91"/>
    <x v="0"/>
  </r>
  <r>
    <x v="0"/>
    <x v="25"/>
    <x v="25"/>
    <x v="0"/>
    <x v="0"/>
    <x v="0"/>
    <x v="0"/>
    <x v="109"/>
    <x v="232"/>
    <x v="181"/>
    <x v="328"/>
    <x v="76"/>
    <x v="87"/>
    <x v="0"/>
  </r>
  <r>
    <x v="0"/>
    <x v="25"/>
    <x v="25"/>
    <x v="2"/>
    <x v="2"/>
    <x v="2"/>
    <x v="1"/>
    <x v="48"/>
    <x v="233"/>
    <x v="61"/>
    <x v="329"/>
    <x v="65"/>
    <x v="178"/>
    <x v="0"/>
  </r>
  <r>
    <x v="0"/>
    <x v="25"/>
    <x v="25"/>
    <x v="4"/>
    <x v="4"/>
    <x v="4"/>
    <x v="2"/>
    <x v="106"/>
    <x v="234"/>
    <x v="95"/>
    <x v="330"/>
    <x v="87"/>
    <x v="263"/>
    <x v="0"/>
  </r>
  <r>
    <x v="0"/>
    <x v="25"/>
    <x v="25"/>
    <x v="6"/>
    <x v="6"/>
    <x v="6"/>
    <x v="3"/>
    <x v="52"/>
    <x v="42"/>
    <x v="126"/>
    <x v="331"/>
    <x v="65"/>
    <x v="178"/>
    <x v="0"/>
  </r>
  <r>
    <x v="0"/>
    <x v="25"/>
    <x v="25"/>
    <x v="7"/>
    <x v="7"/>
    <x v="7"/>
    <x v="4"/>
    <x v="54"/>
    <x v="161"/>
    <x v="64"/>
    <x v="211"/>
    <x v="83"/>
    <x v="6"/>
    <x v="0"/>
  </r>
  <r>
    <x v="0"/>
    <x v="25"/>
    <x v="25"/>
    <x v="1"/>
    <x v="1"/>
    <x v="1"/>
    <x v="5"/>
    <x v="81"/>
    <x v="141"/>
    <x v="48"/>
    <x v="305"/>
    <x v="75"/>
    <x v="137"/>
    <x v="0"/>
  </r>
  <r>
    <x v="0"/>
    <x v="25"/>
    <x v="25"/>
    <x v="10"/>
    <x v="10"/>
    <x v="10"/>
    <x v="6"/>
    <x v="82"/>
    <x v="115"/>
    <x v="97"/>
    <x v="332"/>
    <x v="80"/>
    <x v="272"/>
    <x v="0"/>
  </r>
  <r>
    <x v="0"/>
    <x v="25"/>
    <x v="25"/>
    <x v="9"/>
    <x v="9"/>
    <x v="9"/>
    <x v="6"/>
    <x v="82"/>
    <x v="115"/>
    <x v="87"/>
    <x v="333"/>
    <x v="84"/>
    <x v="91"/>
    <x v="0"/>
  </r>
  <r>
    <x v="0"/>
    <x v="25"/>
    <x v="25"/>
    <x v="37"/>
    <x v="37"/>
    <x v="37"/>
    <x v="8"/>
    <x v="92"/>
    <x v="44"/>
    <x v="98"/>
    <x v="146"/>
    <x v="69"/>
    <x v="264"/>
    <x v="0"/>
  </r>
  <r>
    <x v="0"/>
    <x v="25"/>
    <x v="25"/>
    <x v="3"/>
    <x v="3"/>
    <x v="3"/>
    <x v="9"/>
    <x v="69"/>
    <x v="28"/>
    <x v="142"/>
    <x v="167"/>
    <x v="74"/>
    <x v="161"/>
    <x v="0"/>
  </r>
  <r>
    <x v="0"/>
    <x v="25"/>
    <x v="25"/>
    <x v="5"/>
    <x v="5"/>
    <x v="5"/>
    <x v="10"/>
    <x v="189"/>
    <x v="45"/>
    <x v="92"/>
    <x v="235"/>
    <x v="64"/>
    <x v="118"/>
    <x v="0"/>
  </r>
  <r>
    <x v="0"/>
    <x v="25"/>
    <x v="25"/>
    <x v="18"/>
    <x v="18"/>
    <x v="18"/>
    <x v="11"/>
    <x v="113"/>
    <x v="107"/>
    <x v="82"/>
    <x v="27"/>
    <x v="61"/>
    <x v="273"/>
    <x v="0"/>
  </r>
  <r>
    <x v="0"/>
    <x v="25"/>
    <x v="25"/>
    <x v="19"/>
    <x v="19"/>
    <x v="19"/>
    <x v="12"/>
    <x v="99"/>
    <x v="235"/>
    <x v="96"/>
    <x v="334"/>
    <x v="63"/>
    <x v="140"/>
    <x v="0"/>
  </r>
  <r>
    <x v="0"/>
    <x v="25"/>
    <x v="25"/>
    <x v="17"/>
    <x v="17"/>
    <x v="17"/>
    <x v="13"/>
    <x v="191"/>
    <x v="48"/>
    <x v="62"/>
    <x v="335"/>
    <x v="66"/>
    <x v="122"/>
    <x v="0"/>
  </r>
  <r>
    <x v="0"/>
    <x v="25"/>
    <x v="25"/>
    <x v="8"/>
    <x v="8"/>
    <x v="8"/>
    <x v="14"/>
    <x v="219"/>
    <x v="77"/>
    <x v="153"/>
    <x v="239"/>
    <x v="61"/>
    <x v="273"/>
    <x v="0"/>
  </r>
  <r>
    <x v="0"/>
    <x v="25"/>
    <x v="25"/>
    <x v="13"/>
    <x v="13"/>
    <x v="13"/>
    <x v="15"/>
    <x v="194"/>
    <x v="138"/>
    <x v="125"/>
    <x v="11"/>
    <x v="59"/>
    <x v="148"/>
    <x v="0"/>
  </r>
  <r>
    <x v="0"/>
    <x v="25"/>
    <x v="25"/>
    <x v="12"/>
    <x v="12"/>
    <x v="12"/>
    <x v="15"/>
    <x v="194"/>
    <x v="138"/>
    <x v="53"/>
    <x v="336"/>
    <x v="66"/>
    <x v="122"/>
    <x v="0"/>
  </r>
  <r>
    <x v="0"/>
    <x v="25"/>
    <x v="25"/>
    <x v="11"/>
    <x v="11"/>
    <x v="11"/>
    <x v="17"/>
    <x v="195"/>
    <x v="52"/>
    <x v="46"/>
    <x v="337"/>
    <x v="76"/>
    <x v="87"/>
    <x v="0"/>
  </r>
  <r>
    <x v="0"/>
    <x v="25"/>
    <x v="25"/>
    <x v="24"/>
    <x v="24"/>
    <x v="24"/>
    <x v="17"/>
    <x v="195"/>
    <x v="52"/>
    <x v="153"/>
    <x v="239"/>
    <x v="67"/>
    <x v="119"/>
    <x v="0"/>
  </r>
  <r>
    <x v="0"/>
    <x v="25"/>
    <x v="25"/>
    <x v="22"/>
    <x v="22"/>
    <x v="22"/>
    <x v="17"/>
    <x v="195"/>
    <x v="52"/>
    <x v="106"/>
    <x v="308"/>
    <x v="84"/>
    <x v="91"/>
    <x v="0"/>
  </r>
  <r>
    <x v="0"/>
    <x v="26"/>
    <x v="26"/>
    <x v="0"/>
    <x v="0"/>
    <x v="0"/>
    <x v="0"/>
    <x v="84"/>
    <x v="236"/>
    <x v="183"/>
    <x v="338"/>
    <x v="66"/>
    <x v="274"/>
    <x v="0"/>
  </r>
  <r>
    <x v="0"/>
    <x v="26"/>
    <x v="26"/>
    <x v="1"/>
    <x v="1"/>
    <x v="1"/>
    <x v="1"/>
    <x v="75"/>
    <x v="237"/>
    <x v="169"/>
    <x v="339"/>
    <x v="143"/>
    <x v="275"/>
    <x v="0"/>
  </r>
  <r>
    <x v="0"/>
    <x v="26"/>
    <x v="26"/>
    <x v="4"/>
    <x v="4"/>
    <x v="4"/>
    <x v="2"/>
    <x v="77"/>
    <x v="84"/>
    <x v="63"/>
    <x v="340"/>
    <x v="75"/>
    <x v="276"/>
    <x v="0"/>
  </r>
  <r>
    <x v="0"/>
    <x v="26"/>
    <x v="26"/>
    <x v="12"/>
    <x v="12"/>
    <x v="12"/>
    <x v="3"/>
    <x v="51"/>
    <x v="238"/>
    <x v="99"/>
    <x v="169"/>
    <x v="54"/>
    <x v="277"/>
    <x v="7"/>
  </r>
  <r>
    <x v="0"/>
    <x v="26"/>
    <x v="26"/>
    <x v="5"/>
    <x v="5"/>
    <x v="5"/>
    <x v="3"/>
    <x v="51"/>
    <x v="238"/>
    <x v="87"/>
    <x v="341"/>
    <x v="87"/>
    <x v="114"/>
    <x v="7"/>
  </r>
  <r>
    <x v="0"/>
    <x v="26"/>
    <x v="26"/>
    <x v="10"/>
    <x v="10"/>
    <x v="10"/>
    <x v="5"/>
    <x v="97"/>
    <x v="239"/>
    <x v="54"/>
    <x v="284"/>
    <x v="53"/>
    <x v="278"/>
    <x v="0"/>
  </r>
  <r>
    <x v="0"/>
    <x v="26"/>
    <x v="26"/>
    <x v="11"/>
    <x v="11"/>
    <x v="11"/>
    <x v="6"/>
    <x v="55"/>
    <x v="144"/>
    <x v="67"/>
    <x v="342"/>
    <x v="92"/>
    <x v="97"/>
    <x v="0"/>
  </r>
  <r>
    <x v="0"/>
    <x v="26"/>
    <x v="26"/>
    <x v="7"/>
    <x v="7"/>
    <x v="7"/>
    <x v="7"/>
    <x v="65"/>
    <x v="87"/>
    <x v="91"/>
    <x v="343"/>
    <x v="74"/>
    <x v="150"/>
    <x v="0"/>
  </r>
  <r>
    <x v="0"/>
    <x v="26"/>
    <x v="26"/>
    <x v="2"/>
    <x v="2"/>
    <x v="2"/>
    <x v="7"/>
    <x v="65"/>
    <x v="87"/>
    <x v="68"/>
    <x v="344"/>
    <x v="64"/>
    <x v="279"/>
    <x v="0"/>
  </r>
  <r>
    <x v="0"/>
    <x v="26"/>
    <x v="26"/>
    <x v="3"/>
    <x v="3"/>
    <x v="3"/>
    <x v="9"/>
    <x v="66"/>
    <x v="46"/>
    <x v="102"/>
    <x v="167"/>
    <x v="72"/>
    <x v="273"/>
    <x v="0"/>
  </r>
  <r>
    <x v="0"/>
    <x v="26"/>
    <x v="26"/>
    <x v="8"/>
    <x v="8"/>
    <x v="8"/>
    <x v="10"/>
    <x v="107"/>
    <x v="65"/>
    <x v="92"/>
    <x v="303"/>
    <x v="87"/>
    <x v="114"/>
    <x v="0"/>
  </r>
  <r>
    <x v="0"/>
    <x v="26"/>
    <x v="26"/>
    <x v="21"/>
    <x v="21"/>
    <x v="21"/>
    <x v="11"/>
    <x v="83"/>
    <x v="211"/>
    <x v="50"/>
    <x v="345"/>
    <x v="80"/>
    <x v="280"/>
    <x v="0"/>
  </r>
  <r>
    <x v="0"/>
    <x v="26"/>
    <x v="26"/>
    <x v="9"/>
    <x v="9"/>
    <x v="9"/>
    <x v="12"/>
    <x v="67"/>
    <x v="29"/>
    <x v="68"/>
    <x v="344"/>
    <x v="84"/>
    <x v="91"/>
    <x v="0"/>
  </r>
  <r>
    <x v="0"/>
    <x v="26"/>
    <x v="26"/>
    <x v="23"/>
    <x v="23"/>
    <x v="23"/>
    <x v="13"/>
    <x v="92"/>
    <x v="163"/>
    <x v="153"/>
    <x v="346"/>
    <x v="73"/>
    <x v="254"/>
    <x v="0"/>
  </r>
  <r>
    <x v="0"/>
    <x v="26"/>
    <x v="26"/>
    <x v="6"/>
    <x v="6"/>
    <x v="6"/>
    <x v="14"/>
    <x v="68"/>
    <x v="47"/>
    <x v="90"/>
    <x v="347"/>
    <x v="65"/>
    <x v="281"/>
    <x v="0"/>
  </r>
  <r>
    <x v="0"/>
    <x v="26"/>
    <x v="26"/>
    <x v="18"/>
    <x v="18"/>
    <x v="18"/>
    <x v="15"/>
    <x v="190"/>
    <x v="129"/>
    <x v="111"/>
    <x v="238"/>
    <x v="61"/>
    <x v="118"/>
    <x v="0"/>
  </r>
  <r>
    <x v="0"/>
    <x v="26"/>
    <x v="26"/>
    <x v="54"/>
    <x v="54"/>
    <x v="54"/>
    <x v="16"/>
    <x v="99"/>
    <x v="182"/>
    <x v="108"/>
    <x v="348"/>
    <x v="77"/>
    <x v="282"/>
    <x v="0"/>
  </r>
  <r>
    <x v="0"/>
    <x v="26"/>
    <x v="26"/>
    <x v="37"/>
    <x v="37"/>
    <x v="37"/>
    <x v="17"/>
    <x v="101"/>
    <x v="14"/>
    <x v="97"/>
    <x v="246"/>
    <x v="92"/>
    <x v="97"/>
    <x v="0"/>
  </r>
  <r>
    <x v="0"/>
    <x v="26"/>
    <x v="26"/>
    <x v="15"/>
    <x v="15"/>
    <x v="15"/>
    <x v="18"/>
    <x v="194"/>
    <x v="35"/>
    <x v="69"/>
    <x v="18"/>
    <x v="57"/>
    <x v="163"/>
    <x v="0"/>
  </r>
  <r>
    <x v="0"/>
    <x v="26"/>
    <x v="26"/>
    <x v="13"/>
    <x v="13"/>
    <x v="13"/>
    <x v="18"/>
    <x v="194"/>
    <x v="35"/>
    <x v="154"/>
    <x v="349"/>
    <x v="77"/>
    <x v="282"/>
    <x v="0"/>
  </r>
  <r>
    <x v="0"/>
    <x v="27"/>
    <x v="27"/>
    <x v="56"/>
    <x v="56"/>
    <x v="56"/>
    <x v="0"/>
    <x v="63"/>
    <x v="240"/>
    <x v="184"/>
    <x v="350"/>
    <x v="81"/>
    <x v="283"/>
    <x v="0"/>
  </r>
  <r>
    <x v="0"/>
    <x v="27"/>
    <x v="27"/>
    <x v="0"/>
    <x v="0"/>
    <x v="0"/>
    <x v="1"/>
    <x v="107"/>
    <x v="241"/>
    <x v="80"/>
    <x v="351"/>
    <x v="64"/>
    <x v="284"/>
    <x v="0"/>
  </r>
  <r>
    <x v="0"/>
    <x v="27"/>
    <x v="27"/>
    <x v="11"/>
    <x v="11"/>
    <x v="11"/>
    <x v="2"/>
    <x v="112"/>
    <x v="242"/>
    <x v="106"/>
    <x v="352"/>
    <x v="87"/>
    <x v="48"/>
    <x v="0"/>
  </r>
  <r>
    <x v="0"/>
    <x v="27"/>
    <x v="27"/>
    <x v="1"/>
    <x v="1"/>
    <x v="1"/>
    <x v="2"/>
    <x v="112"/>
    <x v="242"/>
    <x v="125"/>
    <x v="180"/>
    <x v="44"/>
    <x v="285"/>
    <x v="0"/>
  </r>
  <r>
    <x v="0"/>
    <x v="27"/>
    <x v="27"/>
    <x v="9"/>
    <x v="9"/>
    <x v="9"/>
    <x v="4"/>
    <x v="101"/>
    <x v="98"/>
    <x v="34"/>
    <x v="255"/>
    <x v="84"/>
    <x v="91"/>
    <x v="0"/>
  </r>
  <r>
    <x v="0"/>
    <x v="27"/>
    <x v="27"/>
    <x v="41"/>
    <x v="41"/>
    <x v="41"/>
    <x v="5"/>
    <x v="192"/>
    <x v="4"/>
    <x v="81"/>
    <x v="137"/>
    <x v="81"/>
    <x v="283"/>
    <x v="7"/>
  </r>
  <r>
    <x v="0"/>
    <x v="27"/>
    <x v="27"/>
    <x v="2"/>
    <x v="2"/>
    <x v="2"/>
    <x v="6"/>
    <x v="194"/>
    <x v="145"/>
    <x v="67"/>
    <x v="353"/>
    <x v="65"/>
    <x v="139"/>
    <x v="7"/>
  </r>
  <r>
    <x v="0"/>
    <x v="27"/>
    <x v="27"/>
    <x v="10"/>
    <x v="10"/>
    <x v="10"/>
    <x v="7"/>
    <x v="195"/>
    <x v="87"/>
    <x v="47"/>
    <x v="232"/>
    <x v="43"/>
    <x v="286"/>
    <x v="0"/>
  </r>
  <r>
    <x v="0"/>
    <x v="27"/>
    <x v="27"/>
    <x v="6"/>
    <x v="6"/>
    <x v="6"/>
    <x v="7"/>
    <x v="195"/>
    <x v="87"/>
    <x v="67"/>
    <x v="353"/>
    <x v="65"/>
    <x v="139"/>
    <x v="0"/>
  </r>
  <r>
    <x v="0"/>
    <x v="27"/>
    <x v="27"/>
    <x v="49"/>
    <x v="49"/>
    <x v="49"/>
    <x v="9"/>
    <x v="198"/>
    <x v="180"/>
    <x v="96"/>
    <x v="55"/>
    <x v="77"/>
    <x v="151"/>
    <x v="0"/>
  </r>
  <r>
    <x v="0"/>
    <x v="27"/>
    <x v="27"/>
    <x v="4"/>
    <x v="4"/>
    <x v="4"/>
    <x v="10"/>
    <x v="218"/>
    <x v="32"/>
    <x v="154"/>
    <x v="354"/>
    <x v="67"/>
    <x v="287"/>
    <x v="0"/>
  </r>
  <r>
    <x v="0"/>
    <x v="27"/>
    <x v="27"/>
    <x v="19"/>
    <x v="19"/>
    <x v="19"/>
    <x v="11"/>
    <x v="202"/>
    <x v="77"/>
    <x v="93"/>
    <x v="37"/>
    <x v="77"/>
    <x v="151"/>
    <x v="0"/>
  </r>
  <r>
    <x v="0"/>
    <x v="27"/>
    <x v="27"/>
    <x v="8"/>
    <x v="8"/>
    <x v="8"/>
    <x v="11"/>
    <x v="202"/>
    <x v="77"/>
    <x v="99"/>
    <x v="84"/>
    <x v="74"/>
    <x v="268"/>
    <x v="0"/>
  </r>
  <r>
    <x v="0"/>
    <x v="27"/>
    <x v="27"/>
    <x v="3"/>
    <x v="3"/>
    <x v="3"/>
    <x v="11"/>
    <x v="202"/>
    <x v="77"/>
    <x v="46"/>
    <x v="355"/>
    <x v="83"/>
    <x v="101"/>
    <x v="0"/>
  </r>
  <r>
    <x v="0"/>
    <x v="27"/>
    <x v="27"/>
    <x v="5"/>
    <x v="5"/>
    <x v="5"/>
    <x v="11"/>
    <x v="202"/>
    <x v="77"/>
    <x v="100"/>
    <x v="308"/>
    <x v="65"/>
    <x v="139"/>
    <x v="0"/>
  </r>
  <r>
    <x v="0"/>
    <x v="27"/>
    <x v="27"/>
    <x v="20"/>
    <x v="20"/>
    <x v="20"/>
    <x v="15"/>
    <x v="204"/>
    <x v="52"/>
    <x v="96"/>
    <x v="55"/>
    <x v="64"/>
    <x v="284"/>
    <x v="0"/>
  </r>
  <r>
    <x v="0"/>
    <x v="27"/>
    <x v="27"/>
    <x v="16"/>
    <x v="16"/>
    <x v="16"/>
    <x v="16"/>
    <x v="224"/>
    <x v="94"/>
    <x v="97"/>
    <x v="356"/>
    <x v="76"/>
    <x v="247"/>
    <x v="0"/>
  </r>
  <r>
    <x v="0"/>
    <x v="27"/>
    <x v="27"/>
    <x v="17"/>
    <x v="17"/>
    <x v="17"/>
    <x v="16"/>
    <x v="224"/>
    <x v="94"/>
    <x v="93"/>
    <x v="37"/>
    <x v="74"/>
    <x v="268"/>
    <x v="0"/>
  </r>
  <r>
    <x v="0"/>
    <x v="27"/>
    <x v="27"/>
    <x v="43"/>
    <x v="43"/>
    <x v="43"/>
    <x v="16"/>
    <x v="224"/>
    <x v="94"/>
    <x v="69"/>
    <x v="357"/>
    <x v="64"/>
    <x v="284"/>
    <x v="0"/>
  </r>
  <r>
    <x v="0"/>
    <x v="27"/>
    <x v="27"/>
    <x v="57"/>
    <x v="57"/>
    <x v="57"/>
    <x v="16"/>
    <x v="224"/>
    <x v="94"/>
    <x v="81"/>
    <x v="137"/>
    <x v="65"/>
    <x v="139"/>
    <x v="0"/>
  </r>
  <r>
    <x v="0"/>
    <x v="27"/>
    <x v="27"/>
    <x v="7"/>
    <x v="7"/>
    <x v="7"/>
    <x v="16"/>
    <x v="224"/>
    <x v="94"/>
    <x v="81"/>
    <x v="137"/>
    <x v="65"/>
    <x v="139"/>
    <x v="0"/>
  </r>
  <r>
    <x v="0"/>
    <x v="28"/>
    <x v="28"/>
    <x v="0"/>
    <x v="0"/>
    <x v="0"/>
    <x v="0"/>
    <x v="48"/>
    <x v="243"/>
    <x v="60"/>
    <x v="358"/>
    <x v="48"/>
    <x v="254"/>
    <x v="0"/>
  </r>
  <r>
    <x v="0"/>
    <x v="28"/>
    <x v="28"/>
    <x v="10"/>
    <x v="10"/>
    <x v="10"/>
    <x v="1"/>
    <x v="80"/>
    <x v="244"/>
    <x v="50"/>
    <x v="12"/>
    <x v="123"/>
    <x v="288"/>
    <x v="0"/>
  </r>
  <r>
    <x v="0"/>
    <x v="28"/>
    <x v="28"/>
    <x v="1"/>
    <x v="1"/>
    <x v="1"/>
    <x v="2"/>
    <x v="54"/>
    <x v="245"/>
    <x v="50"/>
    <x v="12"/>
    <x v="120"/>
    <x v="20"/>
    <x v="0"/>
  </r>
  <r>
    <x v="0"/>
    <x v="28"/>
    <x v="28"/>
    <x v="3"/>
    <x v="3"/>
    <x v="3"/>
    <x v="3"/>
    <x v="68"/>
    <x v="246"/>
    <x v="34"/>
    <x v="359"/>
    <x v="72"/>
    <x v="4"/>
    <x v="0"/>
  </r>
  <r>
    <x v="0"/>
    <x v="28"/>
    <x v="28"/>
    <x v="8"/>
    <x v="8"/>
    <x v="8"/>
    <x v="4"/>
    <x v="113"/>
    <x v="247"/>
    <x v="153"/>
    <x v="360"/>
    <x v="48"/>
    <x v="254"/>
    <x v="0"/>
  </r>
  <r>
    <x v="0"/>
    <x v="28"/>
    <x v="28"/>
    <x v="12"/>
    <x v="12"/>
    <x v="12"/>
    <x v="4"/>
    <x v="113"/>
    <x v="247"/>
    <x v="168"/>
    <x v="361"/>
    <x v="94"/>
    <x v="289"/>
    <x v="0"/>
  </r>
  <r>
    <x v="0"/>
    <x v="28"/>
    <x v="28"/>
    <x v="5"/>
    <x v="5"/>
    <x v="5"/>
    <x v="6"/>
    <x v="191"/>
    <x v="117"/>
    <x v="106"/>
    <x v="165"/>
    <x v="74"/>
    <x v="287"/>
    <x v="0"/>
  </r>
  <r>
    <x v="0"/>
    <x v="28"/>
    <x v="28"/>
    <x v="6"/>
    <x v="6"/>
    <x v="6"/>
    <x v="7"/>
    <x v="192"/>
    <x v="7"/>
    <x v="106"/>
    <x v="165"/>
    <x v="64"/>
    <x v="290"/>
    <x v="0"/>
  </r>
  <r>
    <x v="0"/>
    <x v="28"/>
    <x v="28"/>
    <x v="11"/>
    <x v="11"/>
    <x v="11"/>
    <x v="8"/>
    <x v="193"/>
    <x v="88"/>
    <x v="154"/>
    <x v="362"/>
    <x v="87"/>
    <x v="203"/>
    <x v="0"/>
  </r>
  <r>
    <x v="0"/>
    <x v="28"/>
    <x v="28"/>
    <x v="4"/>
    <x v="4"/>
    <x v="4"/>
    <x v="8"/>
    <x v="193"/>
    <x v="88"/>
    <x v="100"/>
    <x v="363"/>
    <x v="72"/>
    <x v="4"/>
    <x v="0"/>
  </r>
  <r>
    <x v="0"/>
    <x v="28"/>
    <x v="28"/>
    <x v="13"/>
    <x v="13"/>
    <x v="13"/>
    <x v="10"/>
    <x v="197"/>
    <x v="212"/>
    <x v="154"/>
    <x v="362"/>
    <x v="59"/>
    <x v="3"/>
    <x v="0"/>
  </r>
  <r>
    <x v="0"/>
    <x v="28"/>
    <x v="28"/>
    <x v="2"/>
    <x v="2"/>
    <x v="2"/>
    <x v="10"/>
    <x v="197"/>
    <x v="212"/>
    <x v="100"/>
    <x v="363"/>
    <x v="74"/>
    <x v="287"/>
    <x v="0"/>
  </r>
  <r>
    <x v="0"/>
    <x v="28"/>
    <x v="28"/>
    <x v="20"/>
    <x v="20"/>
    <x v="20"/>
    <x v="12"/>
    <x v="198"/>
    <x v="248"/>
    <x v="53"/>
    <x v="86"/>
    <x v="95"/>
    <x v="110"/>
    <x v="0"/>
  </r>
  <r>
    <x v="0"/>
    <x v="28"/>
    <x v="28"/>
    <x v="23"/>
    <x v="23"/>
    <x v="23"/>
    <x v="13"/>
    <x v="199"/>
    <x v="77"/>
    <x v="62"/>
    <x v="364"/>
    <x v="48"/>
    <x v="254"/>
    <x v="0"/>
  </r>
  <r>
    <x v="0"/>
    <x v="28"/>
    <x v="28"/>
    <x v="18"/>
    <x v="18"/>
    <x v="18"/>
    <x v="14"/>
    <x v="218"/>
    <x v="164"/>
    <x v="52"/>
    <x v="365"/>
    <x v="74"/>
    <x v="287"/>
    <x v="0"/>
  </r>
  <r>
    <x v="0"/>
    <x v="28"/>
    <x v="28"/>
    <x v="29"/>
    <x v="29"/>
    <x v="29"/>
    <x v="15"/>
    <x v="202"/>
    <x v="183"/>
    <x v="53"/>
    <x v="86"/>
    <x v="81"/>
    <x v="274"/>
    <x v="0"/>
  </r>
  <r>
    <x v="0"/>
    <x v="28"/>
    <x v="28"/>
    <x v="42"/>
    <x v="42"/>
    <x v="42"/>
    <x v="16"/>
    <x v="204"/>
    <x v="18"/>
    <x v="98"/>
    <x v="274"/>
    <x v="61"/>
    <x v="164"/>
    <x v="0"/>
  </r>
  <r>
    <x v="0"/>
    <x v="28"/>
    <x v="28"/>
    <x v="17"/>
    <x v="17"/>
    <x v="17"/>
    <x v="17"/>
    <x v="205"/>
    <x v="93"/>
    <x v="51"/>
    <x v="62"/>
    <x v="48"/>
    <x v="254"/>
    <x v="0"/>
  </r>
  <r>
    <x v="0"/>
    <x v="28"/>
    <x v="28"/>
    <x v="41"/>
    <x v="41"/>
    <x v="41"/>
    <x v="17"/>
    <x v="205"/>
    <x v="93"/>
    <x v="107"/>
    <x v="134"/>
    <x v="57"/>
    <x v="291"/>
    <x v="0"/>
  </r>
  <r>
    <x v="0"/>
    <x v="28"/>
    <x v="28"/>
    <x v="58"/>
    <x v="58"/>
    <x v="58"/>
    <x v="17"/>
    <x v="205"/>
    <x v="93"/>
    <x v="154"/>
    <x v="362"/>
    <x v="84"/>
    <x v="91"/>
    <x v="0"/>
  </r>
  <r>
    <x v="0"/>
    <x v="29"/>
    <x v="29"/>
    <x v="10"/>
    <x v="10"/>
    <x v="10"/>
    <x v="0"/>
    <x v="69"/>
    <x v="249"/>
    <x v="99"/>
    <x v="366"/>
    <x v="92"/>
    <x v="292"/>
    <x v="0"/>
  </r>
  <r>
    <x v="0"/>
    <x v="29"/>
    <x v="29"/>
    <x v="0"/>
    <x v="0"/>
    <x v="0"/>
    <x v="1"/>
    <x v="112"/>
    <x v="84"/>
    <x v="49"/>
    <x v="367"/>
    <x v="61"/>
    <x v="159"/>
    <x v="0"/>
  </r>
  <r>
    <x v="0"/>
    <x v="29"/>
    <x v="29"/>
    <x v="6"/>
    <x v="6"/>
    <x v="6"/>
    <x v="2"/>
    <x v="191"/>
    <x v="72"/>
    <x v="111"/>
    <x v="368"/>
    <x v="83"/>
    <x v="119"/>
    <x v="0"/>
  </r>
  <r>
    <x v="0"/>
    <x v="29"/>
    <x v="29"/>
    <x v="11"/>
    <x v="11"/>
    <x v="11"/>
    <x v="3"/>
    <x v="219"/>
    <x v="238"/>
    <x v="46"/>
    <x v="63"/>
    <x v="87"/>
    <x v="151"/>
    <x v="0"/>
  </r>
  <r>
    <x v="0"/>
    <x v="29"/>
    <x v="29"/>
    <x v="2"/>
    <x v="2"/>
    <x v="2"/>
    <x v="4"/>
    <x v="196"/>
    <x v="27"/>
    <x v="108"/>
    <x v="222"/>
    <x v="65"/>
    <x v="154"/>
    <x v="0"/>
  </r>
  <r>
    <x v="0"/>
    <x v="29"/>
    <x v="29"/>
    <x v="17"/>
    <x v="17"/>
    <x v="17"/>
    <x v="5"/>
    <x v="198"/>
    <x v="118"/>
    <x v="98"/>
    <x v="67"/>
    <x v="87"/>
    <x v="151"/>
    <x v="0"/>
  </r>
  <r>
    <x v="0"/>
    <x v="29"/>
    <x v="29"/>
    <x v="59"/>
    <x v="59"/>
    <x v="59"/>
    <x v="5"/>
    <x v="198"/>
    <x v="118"/>
    <x v="98"/>
    <x v="67"/>
    <x v="87"/>
    <x v="151"/>
    <x v="0"/>
  </r>
  <r>
    <x v="0"/>
    <x v="29"/>
    <x v="29"/>
    <x v="60"/>
    <x v="60"/>
    <x v="60"/>
    <x v="7"/>
    <x v="202"/>
    <x v="127"/>
    <x v="93"/>
    <x v="337"/>
    <x v="77"/>
    <x v="293"/>
    <x v="0"/>
  </r>
  <r>
    <x v="0"/>
    <x v="29"/>
    <x v="29"/>
    <x v="56"/>
    <x v="56"/>
    <x v="56"/>
    <x v="8"/>
    <x v="204"/>
    <x v="33"/>
    <x v="62"/>
    <x v="349"/>
    <x v="72"/>
    <x v="294"/>
    <x v="0"/>
  </r>
  <r>
    <x v="0"/>
    <x v="29"/>
    <x v="29"/>
    <x v="19"/>
    <x v="19"/>
    <x v="19"/>
    <x v="8"/>
    <x v="204"/>
    <x v="33"/>
    <x v="97"/>
    <x v="369"/>
    <x v="87"/>
    <x v="151"/>
    <x v="0"/>
  </r>
  <r>
    <x v="0"/>
    <x v="29"/>
    <x v="29"/>
    <x v="16"/>
    <x v="16"/>
    <x v="16"/>
    <x v="10"/>
    <x v="205"/>
    <x v="50"/>
    <x v="97"/>
    <x v="369"/>
    <x v="77"/>
    <x v="293"/>
    <x v="0"/>
  </r>
  <r>
    <x v="0"/>
    <x v="29"/>
    <x v="29"/>
    <x v="61"/>
    <x v="61"/>
    <x v="61"/>
    <x v="10"/>
    <x v="205"/>
    <x v="50"/>
    <x v="98"/>
    <x v="67"/>
    <x v="74"/>
    <x v="114"/>
    <x v="0"/>
  </r>
  <r>
    <x v="0"/>
    <x v="29"/>
    <x v="29"/>
    <x v="54"/>
    <x v="54"/>
    <x v="54"/>
    <x v="10"/>
    <x v="205"/>
    <x v="50"/>
    <x v="93"/>
    <x v="337"/>
    <x v="59"/>
    <x v="295"/>
    <x v="0"/>
  </r>
  <r>
    <x v="0"/>
    <x v="29"/>
    <x v="29"/>
    <x v="13"/>
    <x v="13"/>
    <x v="13"/>
    <x v="13"/>
    <x v="206"/>
    <x v="147"/>
    <x v="69"/>
    <x v="11"/>
    <x v="74"/>
    <x v="114"/>
    <x v="0"/>
  </r>
  <r>
    <x v="0"/>
    <x v="29"/>
    <x v="29"/>
    <x v="50"/>
    <x v="50"/>
    <x v="50"/>
    <x v="13"/>
    <x v="206"/>
    <x v="147"/>
    <x v="51"/>
    <x v="246"/>
    <x v="45"/>
    <x v="265"/>
    <x v="0"/>
  </r>
  <r>
    <x v="0"/>
    <x v="29"/>
    <x v="29"/>
    <x v="8"/>
    <x v="8"/>
    <x v="8"/>
    <x v="13"/>
    <x v="206"/>
    <x v="147"/>
    <x v="69"/>
    <x v="11"/>
    <x v="74"/>
    <x v="114"/>
    <x v="0"/>
  </r>
  <r>
    <x v="0"/>
    <x v="29"/>
    <x v="29"/>
    <x v="23"/>
    <x v="23"/>
    <x v="23"/>
    <x v="13"/>
    <x v="206"/>
    <x v="147"/>
    <x v="69"/>
    <x v="11"/>
    <x v="74"/>
    <x v="114"/>
    <x v="0"/>
  </r>
  <r>
    <x v="0"/>
    <x v="29"/>
    <x v="29"/>
    <x v="4"/>
    <x v="4"/>
    <x v="4"/>
    <x v="13"/>
    <x v="206"/>
    <x v="147"/>
    <x v="93"/>
    <x v="337"/>
    <x v="61"/>
    <x v="159"/>
    <x v="0"/>
  </r>
  <r>
    <x v="0"/>
    <x v="29"/>
    <x v="29"/>
    <x v="42"/>
    <x v="42"/>
    <x v="42"/>
    <x v="13"/>
    <x v="206"/>
    <x v="147"/>
    <x v="99"/>
    <x v="366"/>
    <x v="65"/>
    <x v="154"/>
    <x v="0"/>
  </r>
  <r>
    <x v="0"/>
    <x v="29"/>
    <x v="29"/>
    <x v="62"/>
    <x v="62"/>
    <x v="62"/>
    <x v="19"/>
    <x v="224"/>
    <x v="16"/>
    <x v="97"/>
    <x v="369"/>
    <x v="76"/>
    <x v="57"/>
    <x v="0"/>
  </r>
  <r>
    <x v="0"/>
    <x v="30"/>
    <x v="30"/>
    <x v="10"/>
    <x v="10"/>
    <x v="10"/>
    <x v="0"/>
    <x v="83"/>
    <x v="250"/>
    <x v="81"/>
    <x v="311"/>
    <x v="69"/>
    <x v="296"/>
    <x v="0"/>
  </r>
  <r>
    <x v="0"/>
    <x v="30"/>
    <x v="30"/>
    <x v="2"/>
    <x v="2"/>
    <x v="2"/>
    <x v="1"/>
    <x v="69"/>
    <x v="251"/>
    <x v="104"/>
    <x v="74"/>
    <x v="83"/>
    <x v="76"/>
    <x v="0"/>
  </r>
  <r>
    <x v="0"/>
    <x v="30"/>
    <x v="30"/>
    <x v="0"/>
    <x v="0"/>
    <x v="0"/>
    <x v="2"/>
    <x v="93"/>
    <x v="252"/>
    <x v="92"/>
    <x v="113"/>
    <x v="74"/>
    <x v="297"/>
    <x v="0"/>
  </r>
  <r>
    <x v="0"/>
    <x v="30"/>
    <x v="30"/>
    <x v="63"/>
    <x v="63"/>
    <x v="63"/>
    <x v="3"/>
    <x v="189"/>
    <x v="253"/>
    <x v="142"/>
    <x v="24"/>
    <x v="67"/>
    <x v="224"/>
    <x v="0"/>
  </r>
  <r>
    <x v="0"/>
    <x v="30"/>
    <x v="30"/>
    <x v="1"/>
    <x v="1"/>
    <x v="1"/>
    <x v="4"/>
    <x v="99"/>
    <x v="161"/>
    <x v="153"/>
    <x v="294"/>
    <x v="87"/>
    <x v="64"/>
    <x v="0"/>
  </r>
  <r>
    <x v="0"/>
    <x v="30"/>
    <x v="30"/>
    <x v="3"/>
    <x v="3"/>
    <x v="3"/>
    <x v="5"/>
    <x v="100"/>
    <x v="229"/>
    <x v="169"/>
    <x v="370"/>
    <x v="74"/>
    <x v="297"/>
    <x v="0"/>
  </r>
  <r>
    <x v="0"/>
    <x v="30"/>
    <x v="30"/>
    <x v="8"/>
    <x v="8"/>
    <x v="8"/>
    <x v="6"/>
    <x v="191"/>
    <x v="239"/>
    <x v="108"/>
    <x v="371"/>
    <x v="59"/>
    <x v="298"/>
    <x v="0"/>
  </r>
  <r>
    <x v="0"/>
    <x v="30"/>
    <x v="30"/>
    <x v="49"/>
    <x v="49"/>
    <x v="49"/>
    <x v="7"/>
    <x v="219"/>
    <x v="254"/>
    <x v="109"/>
    <x v="56"/>
    <x v="59"/>
    <x v="298"/>
    <x v="0"/>
  </r>
  <r>
    <x v="0"/>
    <x v="30"/>
    <x v="30"/>
    <x v="6"/>
    <x v="6"/>
    <x v="6"/>
    <x v="7"/>
    <x v="219"/>
    <x v="254"/>
    <x v="111"/>
    <x v="372"/>
    <x v="84"/>
    <x v="91"/>
    <x v="0"/>
  </r>
  <r>
    <x v="0"/>
    <x v="30"/>
    <x v="30"/>
    <x v="28"/>
    <x v="28"/>
    <x v="28"/>
    <x v="9"/>
    <x v="193"/>
    <x v="26"/>
    <x v="109"/>
    <x v="56"/>
    <x v="61"/>
    <x v="73"/>
    <x v="0"/>
  </r>
  <r>
    <x v="0"/>
    <x v="30"/>
    <x v="30"/>
    <x v="64"/>
    <x v="64"/>
    <x v="64"/>
    <x v="9"/>
    <x v="193"/>
    <x v="26"/>
    <x v="55"/>
    <x v="373"/>
    <x v="65"/>
    <x v="239"/>
    <x v="0"/>
  </r>
  <r>
    <x v="0"/>
    <x v="30"/>
    <x v="30"/>
    <x v="11"/>
    <x v="11"/>
    <x v="11"/>
    <x v="11"/>
    <x v="197"/>
    <x v="75"/>
    <x v="46"/>
    <x v="374"/>
    <x v="61"/>
    <x v="73"/>
    <x v="0"/>
  </r>
  <r>
    <x v="0"/>
    <x v="30"/>
    <x v="30"/>
    <x v="16"/>
    <x v="16"/>
    <x v="16"/>
    <x v="12"/>
    <x v="199"/>
    <x v="110"/>
    <x v="62"/>
    <x v="175"/>
    <x v="48"/>
    <x v="299"/>
    <x v="0"/>
  </r>
  <r>
    <x v="0"/>
    <x v="30"/>
    <x v="30"/>
    <x v="13"/>
    <x v="13"/>
    <x v="13"/>
    <x v="13"/>
    <x v="218"/>
    <x v="153"/>
    <x v="154"/>
    <x v="268"/>
    <x v="64"/>
    <x v="78"/>
    <x v="0"/>
  </r>
  <r>
    <x v="0"/>
    <x v="30"/>
    <x v="30"/>
    <x v="5"/>
    <x v="5"/>
    <x v="5"/>
    <x v="14"/>
    <x v="203"/>
    <x v="11"/>
    <x v="154"/>
    <x v="268"/>
    <x v="83"/>
    <x v="76"/>
    <x v="0"/>
  </r>
  <r>
    <x v="0"/>
    <x v="30"/>
    <x v="30"/>
    <x v="65"/>
    <x v="65"/>
    <x v="65"/>
    <x v="15"/>
    <x v="205"/>
    <x v="14"/>
    <x v="52"/>
    <x v="200"/>
    <x v="65"/>
    <x v="239"/>
    <x v="0"/>
  </r>
  <r>
    <x v="0"/>
    <x v="30"/>
    <x v="30"/>
    <x v="14"/>
    <x v="14"/>
    <x v="14"/>
    <x v="16"/>
    <x v="206"/>
    <x v="53"/>
    <x v="97"/>
    <x v="179"/>
    <x v="72"/>
    <x v="246"/>
    <x v="0"/>
  </r>
  <r>
    <x v="0"/>
    <x v="30"/>
    <x v="30"/>
    <x v="37"/>
    <x v="37"/>
    <x v="37"/>
    <x v="17"/>
    <x v="224"/>
    <x v="255"/>
    <x v="69"/>
    <x v="375"/>
    <x v="64"/>
    <x v="78"/>
    <x v="0"/>
  </r>
  <r>
    <x v="0"/>
    <x v="30"/>
    <x v="30"/>
    <x v="20"/>
    <x v="20"/>
    <x v="20"/>
    <x v="17"/>
    <x v="224"/>
    <x v="255"/>
    <x v="97"/>
    <x v="179"/>
    <x v="76"/>
    <x v="187"/>
    <x v="0"/>
  </r>
  <r>
    <x v="0"/>
    <x v="30"/>
    <x v="30"/>
    <x v="66"/>
    <x v="66"/>
    <x v="66"/>
    <x v="19"/>
    <x v="225"/>
    <x v="37"/>
    <x v="96"/>
    <x v="318"/>
    <x v="65"/>
    <x v="239"/>
    <x v="0"/>
  </r>
  <r>
    <x v="0"/>
    <x v="30"/>
    <x v="30"/>
    <x v="54"/>
    <x v="54"/>
    <x v="54"/>
    <x v="19"/>
    <x v="225"/>
    <x v="37"/>
    <x v="62"/>
    <x v="175"/>
    <x v="74"/>
    <x v="297"/>
    <x v="0"/>
  </r>
  <r>
    <x v="0"/>
    <x v="30"/>
    <x v="30"/>
    <x v="67"/>
    <x v="67"/>
    <x v="67"/>
    <x v="19"/>
    <x v="225"/>
    <x v="37"/>
    <x v="62"/>
    <x v="175"/>
    <x v="74"/>
    <x v="297"/>
    <x v="0"/>
  </r>
  <r>
    <x v="0"/>
    <x v="30"/>
    <x v="30"/>
    <x v="19"/>
    <x v="19"/>
    <x v="19"/>
    <x v="19"/>
    <x v="225"/>
    <x v="37"/>
    <x v="53"/>
    <x v="225"/>
    <x v="72"/>
    <x v="246"/>
    <x v="0"/>
  </r>
  <r>
    <x v="0"/>
    <x v="31"/>
    <x v="31"/>
    <x v="47"/>
    <x v="47"/>
    <x v="47"/>
    <x v="0"/>
    <x v="92"/>
    <x v="256"/>
    <x v="49"/>
    <x v="376"/>
    <x v="87"/>
    <x v="300"/>
    <x v="0"/>
  </r>
  <r>
    <x v="0"/>
    <x v="31"/>
    <x v="31"/>
    <x v="10"/>
    <x v="10"/>
    <x v="10"/>
    <x v="1"/>
    <x v="113"/>
    <x v="257"/>
    <x v="98"/>
    <x v="81"/>
    <x v="60"/>
    <x v="301"/>
    <x v="0"/>
  </r>
  <r>
    <x v="0"/>
    <x v="31"/>
    <x v="31"/>
    <x v="0"/>
    <x v="0"/>
    <x v="0"/>
    <x v="2"/>
    <x v="191"/>
    <x v="1"/>
    <x v="49"/>
    <x v="376"/>
    <x v="84"/>
    <x v="91"/>
    <x v="0"/>
  </r>
  <r>
    <x v="0"/>
    <x v="31"/>
    <x v="31"/>
    <x v="8"/>
    <x v="8"/>
    <x v="8"/>
    <x v="3"/>
    <x v="218"/>
    <x v="73"/>
    <x v="96"/>
    <x v="366"/>
    <x v="76"/>
    <x v="302"/>
    <x v="0"/>
  </r>
  <r>
    <x v="0"/>
    <x v="31"/>
    <x v="31"/>
    <x v="1"/>
    <x v="1"/>
    <x v="1"/>
    <x v="3"/>
    <x v="218"/>
    <x v="73"/>
    <x v="99"/>
    <x v="377"/>
    <x v="61"/>
    <x v="177"/>
    <x v="0"/>
  </r>
  <r>
    <x v="0"/>
    <x v="31"/>
    <x v="31"/>
    <x v="6"/>
    <x v="6"/>
    <x v="6"/>
    <x v="5"/>
    <x v="202"/>
    <x v="142"/>
    <x v="125"/>
    <x v="378"/>
    <x v="84"/>
    <x v="91"/>
    <x v="0"/>
  </r>
  <r>
    <x v="0"/>
    <x v="31"/>
    <x v="31"/>
    <x v="18"/>
    <x v="18"/>
    <x v="18"/>
    <x v="6"/>
    <x v="203"/>
    <x v="116"/>
    <x v="46"/>
    <x v="181"/>
    <x v="65"/>
    <x v="2"/>
    <x v="0"/>
  </r>
  <r>
    <x v="0"/>
    <x v="31"/>
    <x v="31"/>
    <x v="11"/>
    <x v="11"/>
    <x v="11"/>
    <x v="7"/>
    <x v="205"/>
    <x v="86"/>
    <x v="99"/>
    <x v="377"/>
    <x v="83"/>
    <x v="133"/>
    <x v="0"/>
  </r>
  <r>
    <x v="0"/>
    <x v="31"/>
    <x v="31"/>
    <x v="2"/>
    <x v="2"/>
    <x v="2"/>
    <x v="7"/>
    <x v="205"/>
    <x v="86"/>
    <x v="81"/>
    <x v="379"/>
    <x v="83"/>
    <x v="133"/>
    <x v="7"/>
  </r>
  <r>
    <x v="0"/>
    <x v="31"/>
    <x v="31"/>
    <x v="49"/>
    <x v="49"/>
    <x v="49"/>
    <x v="9"/>
    <x v="224"/>
    <x v="258"/>
    <x v="81"/>
    <x v="379"/>
    <x v="65"/>
    <x v="2"/>
    <x v="0"/>
  </r>
  <r>
    <x v="0"/>
    <x v="31"/>
    <x v="31"/>
    <x v="17"/>
    <x v="17"/>
    <x v="17"/>
    <x v="10"/>
    <x v="225"/>
    <x v="127"/>
    <x v="62"/>
    <x v="317"/>
    <x v="74"/>
    <x v="303"/>
    <x v="0"/>
  </r>
  <r>
    <x v="0"/>
    <x v="31"/>
    <x v="31"/>
    <x v="15"/>
    <x v="15"/>
    <x v="15"/>
    <x v="10"/>
    <x v="225"/>
    <x v="127"/>
    <x v="93"/>
    <x v="305"/>
    <x v="64"/>
    <x v="54"/>
    <x v="0"/>
  </r>
  <r>
    <x v="0"/>
    <x v="31"/>
    <x v="31"/>
    <x v="13"/>
    <x v="13"/>
    <x v="13"/>
    <x v="10"/>
    <x v="225"/>
    <x v="127"/>
    <x v="98"/>
    <x v="81"/>
    <x v="83"/>
    <x v="133"/>
    <x v="0"/>
  </r>
  <r>
    <x v="0"/>
    <x v="31"/>
    <x v="31"/>
    <x v="19"/>
    <x v="19"/>
    <x v="19"/>
    <x v="13"/>
    <x v="207"/>
    <x v="111"/>
    <x v="97"/>
    <x v="380"/>
    <x v="61"/>
    <x v="177"/>
    <x v="0"/>
  </r>
  <r>
    <x v="0"/>
    <x v="31"/>
    <x v="31"/>
    <x v="20"/>
    <x v="20"/>
    <x v="20"/>
    <x v="13"/>
    <x v="207"/>
    <x v="111"/>
    <x v="97"/>
    <x v="380"/>
    <x v="74"/>
    <x v="303"/>
    <x v="0"/>
  </r>
  <r>
    <x v="0"/>
    <x v="31"/>
    <x v="31"/>
    <x v="30"/>
    <x v="30"/>
    <x v="30"/>
    <x v="15"/>
    <x v="208"/>
    <x v="91"/>
    <x v="93"/>
    <x v="305"/>
    <x v="83"/>
    <x v="133"/>
    <x v="0"/>
  </r>
  <r>
    <x v="0"/>
    <x v="31"/>
    <x v="31"/>
    <x v="50"/>
    <x v="50"/>
    <x v="50"/>
    <x v="15"/>
    <x v="208"/>
    <x v="91"/>
    <x v="107"/>
    <x v="134"/>
    <x v="87"/>
    <x v="300"/>
    <x v="0"/>
  </r>
  <r>
    <x v="0"/>
    <x v="31"/>
    <x v="31"/>
    <x v="3"/>
    <x v="3"/>
    <x v="3"/>
    <x v="17"/>
    <x v="209"/>
    <x v="15"/>
    <x v="93"/>
    <x v="305"/>
    <x v="65"/>
    <x v="2"/>
    <x v="0"/>
  </r>
  <r>
    <x v="0"/>
    <x v="31"/>
    <x v="31"/>
    <x v="4"/>
    <x v="4"/>
    <x v="4"/>
    <x v="17"/>
    <x v="209"/>
    <x v="15"/>
    <x v="93"/>
    <x v="305"/>
    <x v="65"/>
    <x v="2"/>
    <x v="0"/>
  </r>
  <r>
    <x v="0"/>
    <x v="31"/>
    <x v="31"/>
    <x v="16"/>
    <x v="16"/>
    <x v="16"/>
    <x v="19"/>
    <x v="226"/>
    <x v="79"/>
    <x v="53"/>
    <x v="16"/>
    <x v="74"/>
    <x v="303"/>
    <x v="0"/>
  </r>
  <r>
    <x v="0"/>
    <x v="31"/>
    <x v="31"/>
    <x v="37"/>
    <x v="37"/>
    <x v="37"/>
    <x v="19"/>
    <x v="226"/>
    <x v="79"/>
    <x v="62"/>
    <x v="317"/>
    <x v="65"/>
    <x v="2"/>
    <x v="0"/>
  </r>
  <r>
    <x v="0"/>
    <x v="31"/>
    <x v="31"/>
    <x v="54"/>
    <x v="54"/>
    <x v="54"/>
    <x v="19"/>
    <x v="226"/>
    <x v="79"/>
    <x v="47"/>
    <x v="381"/>
    <x v="64"/>
    <x v="54"/>
    <x v="0"/>
  </r>
  <r>
    <x v="0"/>
    <x v="31"/>
    <x v="31"/>
    <x v="12"/>
    <x v="12"/>
    <x v="12"/>
    <x v="19"/>
    <x v="226"/>
    <x v="79"/>
    <x v="107"/>
    <x v="134"/>
    <x v="72"/>
    <x v="304"/>
    <x v="0"/>
  </r>
  <r>
    <x v="0"/>
    <x v="32"/>
    <x v="32"/>
    <x v="0"/>
    <x v="0"/>
    <x v="0"/>
    <x v="0"/>
    <x v="217"/>
    <x v="259"/>
    <x v="185"/>
    <x v="382"/>
    <x v="74"/>
    <x v="41"/>
    <x v="0"/>
  </r>
  <r>
    <x v="0"/>
    <x v="32"/>
    <x v="32"/>
    <x v="10"/>
    <x v="10"/>
    <x v="10"/>
    <x v="1"/>
    <x v="174"/>
    <x v="185"/>
    <x v="102"/>
    <x v="383"/>
    <x v="110"/>
    <x v="305"/>
    <x v="0"/>
  </r>
  <r>
    <x v="0"/>
    <x v="32"/>
    <x v="32"/>
    <x v="6"/>
    <x v="6"/>
    <x v="6"/>
    <x v="2"/>
    <x v="97"/>
    <x v="260"/>
    <x v="126"/>
    <x v="384"/>
    <x v="67"/>
    <x v="84"/>
    <x v="0"/>
  </r>
  <r>
    <x v="0"/>
    <x v="32"/>
    <x v="32"/>
    <x v="49"/>
    <x v="49"/>
    <x v="49"/>
    <x v="3"/>
    <x v="54"/>
    <x v="132"/>
    <x v="80"/>
    <x v="385"/>
    <x v="87"/>
    <x v="121"/>
    <x v="0"/>
  </r>
  <r>
    <x v="0"/>
    <x v="32"/>
    <x v="32"/>
    <x v="11"/>
    <x v="11"/>
    <x v="11"/>
    <x v="4"/>
    <x v="81"/>
    <x v="61"/>
    <x v="49"/>
    <x v="386"/>
    <x v="95"/>
    <x v="43"/>
    <x v="0"/>
  </r>
  <r>
    <x v="0"/>
    <x v="32"/>
    <x v="32"/>
    <x v="16"/>
    <x v="16"/>
    <x v="16"/>
    <x v="5"/>
    <x v="83"/>
    <x v="224"/>
    <x v="100"/>
    <x v="387"/>
    <x v="92"/>
    <x v="306"/>
    <x v="0"/>
  </r>
  <r>
    <x v="0"/>
    <x v="32"/>
    <x v="32"/>
    <x v="17"/>
    <x v="17"/>
    <x v="17"/>
    <x v="6"/>
    <x v="93"/>
    <x v="99"/>
    <x v="55"/>
    <x v="348"/>
    <x v="45"/>
    <x v="82"/>
    <x v="0"/>
  </r>
  <r>
    <x v="0"/>
    <x v="32"/>
    <x v="32"/>
    <x v="3"/>
    <x v="3"/>
    <x v="3"/>
    <x v="7"/>
    <x v="113"/>
    <x v="230"/>
    <x v="106"/>
    <x v="67"/>
    <x v="77"/>
    <x v="307"/>
    <x v="0"/>
  </r>
  <r>
    <x v="0"/>
    <x v="32"/>
    <x v="32"/>
    <x v="4"/>
    <x v="4"/>
    <x v="4"/>
    <x v="7"/>
    <x v="113"/>
    <x v="230"/>
    <x v="49"/>
    <x v="386"/>
    <x v="74"/>
    <x v="41"/>
    <x v="0"/>
  </r>
  <r>
    <x v="0"/>
    <x v="32"/>
    <x v="32"/>
    <x v="8"/>
    <x v="8"/>
    <x v="8"/>
    <x v="9"/>
    <x v="99"/>
    <x v="31"/>
    <x v="106"/>
    <x v="67"/>
    <x v="76"/>
    <x v="179"/>
    <x v="0"/>
  </r>
  <r>
    <x v="0"/>
    <x v="32"/>
    <x v="32"/>
    <x v="1"/>
    <x v="1"/>
    <x v="1"/>
    <x v="9"/>
    <x v="99"/>
    <x v="31"/>
    <x v="125"/>
    <x v="123"/>
    <x v="58"/>
    <x v="198"/>
    <x v="0"/>
  </r>
  <r>
    <x v="0"/>
    <x v="32"/>
    <x v="32"/>
    <x v="66"/>
    <x v="66"/>
    <x v="66"/>
    <x v="11"/>
    <x v="100"/>
    <x v="181"/>
    <x v="153"/>
    <x v="311"/>
    <x v="77"/>
    <x v="307"/>
    <x v="0"/>
  </r>
  <r>
    <x v="0"/>
    <x v="32"/>
    <x v="32"/>
    <x v="19"/>
    <x v="19"/>
    <x v="19"/>
    <x v="11"/>
    <x v="100"/>
    <x v="181"/>
    <x v="46"/>
    <x v="90"/>
    <x v="81"/>
    <x v="168"/>
    <x v="0"/>
  </r>
  <r>
    <x v="0"/>
    <x v="32"/>
    <x v="32"/>
    <x v="37"/>
    <x v="37"/>
    <x v="37"/>
    <x v="13"/>
    <x v="191"/>
    <x v="77"/>
    <x v="109"/>
    <x v="307"/>
    <x v="72"/>
    <x v="184"/>
    <x v="0"/>
  </r>
  <r>
    <x v="0"/>
    <x v="32"/>
    <x v="32"/>
    <x v="28"/>
    <x v="28"/>
    <x v="28"/>
    <x v="13"/>
    <x v="191"/>
    <x v="77"/>
    <x v="55"/>
    <x v="348"/>
    <x v="64"/>
    <x v="77"/>
    <x v="0"/>
  </r>
  <r>
    <x v="0"/>
    <x v="32"/>
    <x v="32"/>
    <x v="15"/>
    <x v="15"/>
    <x v="15"/>
    <x v="15"/>
    <x v="219"/>
    <x v="138"/>
    <x v="100"/>
    <x v="387"/>
    <x v="77"/>
    <x v="307"/>
    <x v="0"/>
  </r>
  <r>
    <x v="0"/>
    <x v="32"/>
    <x v="32"/>
    <x v="2"/>
    <x v="2"/>
    <x v="2"/>
    <x v="15"/>
    <x v="219"/>
    <x v="138"/>
    <x v="111"/>
    <x v="388"/>
    <x v="84"/>
    <x v="91"/>
    <x v="0"/>
  </r>
  <r>
    <x v="0"/>
    <x v="32"/>
    <x v="32"/>
    <x v="68"/>
    <x v="68"/>
    <x v="68"/>
    <x v="17"/>
    <x v="195"/>
    <x v="53"/>
    <x v="67"/>
    <x v="389"/>
    <x v="65"/>
    <x v="90"/>
    <x v="0"/>
  </r>
  <r>
    <x v="0"/>
    <x v="32"/>
    <x v="32"/>
    <x v="18"/>
    <x v="18"/>
    <x v="18"/>
    <x v="18"/>
    <x v="196"/>
    <x v="54"/>
    <x v="48"/>
    <x v="390"/>
    <x v="64"/>
    <x v="77"/>
    <x v="0"/>
  </r>
  <r>
    <x v="0"/>
    <x v="32"/>
    <x v="32"/>
    <x v="50"/>
    <x v="50"/>
    <x v="50"/>
    <x v="19"/>
    <x v="197"/>
    <x v="80"/>
    <x v="62"/>
    <x v="70"/>
    <x v="81"/>
    <x v="168"/>
    <x v="0"/>
  </r>
  <r>
    <x v="0"/>
    <x v="32"/>
    <x v="32"/>
    <x v="20"/>
    <x v="20"/>
    <x v="20"/>
    <x v="19"/>
    <x v="197"/>
    <x v="80"/>
    <x v="69"/>
    <x v="356"/>
    <x v="48"/>
    <x v="293"/>
    <x v="0"/>
  </r>
  <r>
    <x v="0"/>
    <x v="33"/>
    <x v="33"/>
    <x v="1"/>
    <x v="1"/>
    <x v="1"/>
    <x v="0"/>
    <x v="48"/>
    <x v="261"/>
    <x v="127"/>
    <x v="211"/>
    <x v="57"/>
    <x v="308"/>
    <x v="0"/>
  </r>
  <r>
    <x v="0"/>
    <x v="33"/>
    <x v="33"/>
    <x v="0"/>
    <x v="0"/>
    <x v="0"/>
    <x v="1"/>
    <x v="89"/>
    <x v="262"/>
    <x v="77"/>
    <x v="391"/>
    <x v="65"/>
    <x v="63"/>
    <x v="0"/>
  </r>
  <r>
    <x v="0"/>
    <x v="33"/>
    <x v="33"/>
    <x v="69"/>
    <x v="69"/>
    <x v="69"/>
    <x v="2"/>
    <x v="90"/>
    <x v="263"/>
    <x v="63"/>
    <x v="392"/>
    <x v="73"/>
    <x v="309"/>
    <x v="0"/>
  </r>
  <r>
    <x v="0"/>
    <x v="33"/>
    <x v="33"/>
    <x v="6"/>
    <x v="6"/>
    <x v="6"/>
    <x v="3"/>
    <x v="91"/>
    <x v="169"/>
    <x v="78"/>
    <x v="340"/>
    <x v="84"/>
    <x v="91"/>
    <x v="0"/>
  </r>
  <r>
    <x v="0"/>
    <x v="33"/>
    <x v="33"/>
    <x v="2"/>
    <x v="2"/>
    <x v="2"/>
    <x v="4"/>
    <x v="83"/>
    <x v="264"/>
    <x v="79"/>
    <x v="393"/>
    <x v="84"/>
    <x v="91"/>
    <x v="0"/>
  </r>
  <r>
    <x v="0"/>
    <x v="33"/>
    <x v="33"/>
    <x v="42"/>
    <x v="42"/>
    <x v="42"/>
    <x v="5"/>
    <x v="93"/>
    <x v="265"/>
    <x v="167"/>
    <x v="394"/>
    <x v="67"/>
    <x v="182"/>
    <x v="0"/>
  </r>
  <r>
    <x v="0"/>
    <x v="33"/>
    <x v="33"/>
    <x v="8"/>
    <x v="8"/>
    <x v="8"/>
    <x v="6"/>
    <x v="112"/>
    <x v="117"/>
    <x v="82"/>
    <x v="147"/>
    <x v="59"/>
    <x v="36"/>
    <x v="0"/>
  </r>
  <r>
    <x v="0"/>
    <x v="33"/>
    <x v="33"/>
    <x v="10"/>
    <x v="10"/>
    <x v="10"/>
    <x v="7"/>
    <x v="100"/>
    <x v="65"/>
    <x v="93"/>
    <x v="10"/>
    <x v="55"/>
    <x v="310"/>
    <x v="0"/>
  </r>
  <r>
    <x v="0"/>
    <x v="33"/>
    <x v="33"/>
    <x v="16"/>
    <x v="16"/>
    <x v="16"/>
    <x v="8"/>
    <x v="191"/>
    <x v="109"/>
    <x v="96"/>
    <x v="47"/>
    <x v="95"/>
    <x v="306"/>
    <x v="0"/>
  </r>
  <r>
    <x v="0"/>
    <x v="33"/>
    <x v="33"/>
    <x v="13"/>
    <x v="13"/>
    <x v="13"/>
    <x v="9"/>
    <x v="192"/>
    <x v="47"/>
    <x v="108"/>
    <x v="67"/>
    <x v="61"/>
    <x v="33"/>
    <x v="0"/>
  </r>
  <r>
    <x v="0"/>
    <x v="33"/>
    <x v="33"/>
    <x v="3"/>
    <x v="3"/>
    <x v="3"/>
    <x v="9"/>
    <x v="192"/>
    <x v="47"/>
    <x v="55"/>
    <x v="355"/>
    <x v="67"/>
    <x v="182"/>
    <x v="0"/>
  </r>
  <r>
    <x v="0"/>
    <x v="33"/>
    <x v="33"/>
    <x v="32"/>
    <x v="32"/>
    <x v="32"/>
    <x v="11"/>
    <x v="219"/>
    <x v="153"/>
    <x v="69"/>
    <x v="395"/>
    <x v="95"/>
    <x v="306"/>
    <x v="0"/>
  </r>
  <r>
    <x v="0"/>
    <x v="33"/>
    <x v="33"/>
    <x v="11"/>
    <x v="11"/>
    <x v="11"/>
    <x v="11"/>
    <x v="219"/>
    <x v="153"/>
    <x v="153"/>
    <x v="305"/>
    <x v="61"/>
    <x v="33"/>
    <x v="0"/>
  </r>
  <r>
    <x v="0"/>
    <x v="33"/>
    <x v="33"/>
    <x v="4"/>
    <x v="4"/>
    <x v="4"/>
    <x v="13"/>
    <x v="193"/>
    <x v="181"/>
    <x v="67"/>
    <x v="348"/>
    <x v="67"/>
    <x v="182"/>
    <x v="0"/>
  </r>
  <r>
    <x v="0"/>
    <x v="33"/>
    <x v="33"/>
    <x v="28"/>
    <x v="28"/>
    <x v="28"/>
    <x v="14"/>
    <x v="194"/>
    <x v="33"/>
    <x v="67"/>
    <x v="348"/>
    <x v="83"/>
    <x v="55"/>
    <x v="0"/>
  </r>
  <r>
    <x v="0"/>
    <x v="33"/>
    <x v="33"/>
    <x v="47"/>
    <x v="47"/>
    <x v="47"/>
    <x v="14"/>
    <x v="194"/>
    <x v="33"/>
    <x v="67"/>
    <x v="348"/>
    <x v="83"/>
    <x v="55"/>
    <x v="0"/>
  </r>
  <r>
    <x v="0"/>
    <x v="33"/>
    <x v="33"/>
    <x v="5"/>
    <x v="5"/>
    <x v="5"/>
    <x v="14"/>
    <x v="194"/>
    <x v="33"/>
    <x v="106"/>
    <x v="268"/>
    <x v="65"/>
    <x v="63"/>
    <x v="0"/>
  </r>
  <r>
    <x v="0"/>
    <x v="33"/>
    <x v="33"/>
    <x v="70"/>
    <x v="70"/>
    <x v="70"/>
    <x v="17"/>
    <x v="195"/>
    <x v="90"/>
    <x v="47"/>
    <x v="54"/>
    <x v="43"/>
    <x v="311"/>
    <x v="0"/>
  </r>
  <r>
    <x v="0"/>
    <x v="33"/>
    <x v="33"/>
    <x v="71"/>
    <x v="71"/>
    <x v="71"/>
    <x v="18"/>
    <x v="197"/>
    <x v="147"/>
    <x v="52"/>
    <x v="396"/>
    <x v="76"/>
    <x v="254"/>
    <x v="0"/>
  </r>
  <r>
    <x v="0"/>
    <x v="33"/>
    <x v="33"/>
    <x v="15"/>
    <x v="15"/>
    <x v="15"/>
    <x v="18"/>
    <x v="197"/>
    <x v="147"/>
    <x v="48"/>
    <x v="137"/>
    <x v="67"/>
    <x v="182"/>
    <x v="0"/>
  </r>
  <r>
    <x v="0"/>
    <x v="33"/>
    <x v="33"/>
    <x v="30"/>
    <x v="30"/>
    <x v="30"/>
    <x v="18"/>
    <x v="197"/>
    <x v="147"/>
    <x v="109"/>
    <x v="261"/>
    <x v="83"/>
    <x v="55"/>
    <x v="0"/>
  </r>
  <r>
    <x v="0"/>
    <x v="34"/>
    <x v="34"/>
    <x v="0"/>
    <x v="0"/>
    <x v="0"/>
    <x v="0"/>
    <x v="78"/>
    <x v="266"/>
    <x v="103"/>
    <x v="397"/>
    <x v="84"/>
    <x v="91"/>
    <x v="0"/>
  </r>
  <r>
    <x v="0"/>
    <x v="34"/>
    <x v="34"/>
    <x v="1"/>
    <x v="1"/>
    <x v="1"/>
    <x v="1"/>
    <x v="68"/>
    <x v="263"/>
    <x v="34"/>
    <x v="23"/>
    <x v="72"/>
    <x v="312"/>
    <x v="0"/>
  </r>
  <r>
    <x v="0"/>
    <x v="34"/>
    <x v="34"/>
    <x v="10"/>
    <x v="10"/>
    <x v="10"/>
    <x v="2"/>
    <x v="69"/>
    <x v="122"/>
    <x v="69"/>
    <x v="299"/>
    <x v="36"/>
    <x v="313"/>
    <x v="0"/>
  </r>
  <r>
    <x v="0"/>
    <x v="34"/>
    <x v="34"/>
    <x v="2"/>
    <x v="2"/>
    <x v="2"/>
    <x v="3"/>
    <x v="191"/>
    <x v="227"/>
    <x v="111"/>
    <x v="398"/>
    <x v="83"/>
    <x v="45"/>
    <x v="0"/>
  </r>
  <r>
    <x v="0"/>
    <x v="34"/>
    <x v="34"/>
    <x v="11"/>
    <x v="11"/>
    <x v="11"/>
    <x v="4"/>
    <x v="193"/>
    <x v="106"/>
    <x v="99"/>
    <x v="287"/>
    <x v="48"/>
    <x v="314"/>
    <x v="0"/>
  </r>
  <r>
    <x v="0"/>
    <x v="34"/>
    <x v="34"/>
    <x v="8"/>
    <x v="8"/>
    <x v="8"/>
    <x v="4"/>
    <x v="193"/>
    <x v="106"/>
    <x v="46"/>
    <x v="187"/>
    <x v="77"/>
    <x v="315"/>
    <x v="0"/>
  </r>
  <r>
    <x v="0"/>
    <x v="34"/>
    <x v="34"/>
    <x v="6"/>
    <x v="6"/>
    <x v="6"/>
    <x v="6"/>
    <x v="194"/>
    <x v="141"/>
    <x v="106"/>
    <x v="94"/>
    <x v="65"/>
    <x v="138"/>
    <x v="0"/>
  </r>
  <r>
    <x v="0"/>
    <x v="34"/>
    <x v="34"/>
    <x v="4"/>
    <x v="4"/>
    <x v="4"/>
    <x v="7"/>
    <x v="196"/>
    <x v="116"/>
    <x v="109"/>
    <x v="186"/>
    <x v="67"/>
    <x v="316"/>
    <x v="0"/>
  </r>
  <r>
    <x v="0"/>
    <x v="34"/>
    <x v="34"/>
    <x v="49"/>
    <x v="49"/>
    <x v="49"/>
    <x v="8"/>
    <x v="203"/>
    <x v="30"/>
    <x v="62"/>
    <x v="295"/>
    <x v="77"/>
    <x v="315"/>
    <x v="0"/>
  </r>
  <r>
    <x v="0"/>
    <x v="34"/>
    <x v="34"/>
    <x v="3"/>
    <x v="3"/>
    <x v="3"/>
    <x v="8"/>
    <x v="203"/>
    <x v="30"/>
    <x v="99"/>
    <x v="287"/>
    <x v="64"/>
    <x v="196"/>
    <x v="0"/>
  </r>
  <r>
    <x v="0"/>
    <x v="34"/>
    <x v="34"/>
    <x v="17"/>
    <x v="17"/>
    <x v="17"/>
    <x v="10"/>
    <x v="204"/>
    <x v="221"/>
    <x v="54"/>
    <x v="334"/>
    <x v="77"/>
    <x v="315"/>
    <x v="0"/>
  </r>
  <r>
    <x v="0"/>
    <x v="34"/>
    <x v="34"/>
    <x v="19"/>
    <x v="19"/>
    <x v="19"/>
    <x v="10"/>
    <x v="204"/>
    <x v="221"/>
    <x v="69"/>
    <x v="299"/>
    <x v="59"/>
    <x v="317"/>
    <x v="0"/>
  </r>
  <r>
    <x v="0"/>
    <x v="34"/>
    <x v="34"/>
    <x v="15"/>
    <x v="15"/>
    <x v="15"/>
    <x v="12"/>
    <x v="206"/>
    <x v="11"/>
    <x v="93"/>
    <x v="399"/>
    <x v="61"/>
    <x v="247"/>
    <x v="0"/>
  </r>
  <r>
    <x v="0"/>
    <x v="34"/>
    <x v="34"/>
    <x v="9"/>
    <x v="9"/>
    <x v="9"/>
    <x v="12"/>
    <x v="206"/>
    <x v="11"/>
    <x v="52"/>
    <x v="316"/>
    <x v="84"/>
    <x v="91"/>
    <x v="0"/>
  </r>
  <r>
    <x v="0"/>
    <x v="34"/>
    <x v="34"/>
    <x v="66"/>
    <x v="66"/>
    <x v="66"/>
    <x v="14"/>
    <x v="224"/>
    <x v="155"/>
    <x v="98"/>
    <x v="400"/>
    <x v="67"/>
    <x v="316"/>
    <x v="0"/>
  </r>
  <r>
    <x v="0"/>
    <x v="34"/>
    <x v="34"/>
    <x v="20"/>
    <x v="20"/>
    <x v="20"/>
    <x v="14"/>
    <x v="224"/>
    <x v="155"/>
    <x v="97"/>
    <x v="300"/>
    <x v="59"/>
    <x v="317"/>
    <x v="0"/>
  </r>
  <r>
    <x v="0"/>
    <x v="34"/>
    <x v="34"/>
    <x v="7"/>
    <x v="7"/>
    <x v="7"/>
    <x v="14"/>
    <x v="224"/>
    <x v="155"/>
    <x v="81"/>
    <x v="401"/>
    <x v="65"/>
    <x v="138"/>
    <x v="0"/>
  </r>
  <r>
    <x v="0"/>
    <x v="34"/>
    <x v="34"/>
    <x v="16"/>
    <x v="16"/>
    <x v="16"/>
    <x v="17"/>
    <x v="225"/>
    <x v="149"/>
    <x v="54"/>
    <x v="334"/>
    <x v="61"/>
    <x v="247"/>
    <x v="0"/>
  </r>
  <r>
    <x v="0"/>
    <x v="34"/>
    <x v="34"/>
    <x v="5"/>
    <x v="5"/>
    <x v="5"/>
    <x v="17"/>
    <x v="225"/>
    <x v="149"/>
    <x v="96"/>
    <x v="402"/>
    <x v="65"/>
    <x v="138"/>
    <x v="0"/>
  </r>
  <r>
    <x v="0"/>
    <x v="34"/>
    <x v="34"/>
    <x v="13"/>
    <x v="13"/>
    <x v="13"/>
    <x v="19"/>
    <x v="207"/>
    <x v="79"/>
    <x v="62"/>
    <x v="295"/>
    <x v="67"/>
    <x v="316"/>
    <x v="7"/>
  </r>
  <r>
    <x v="0"/>
    <x v="34"/>
    <x v="34"/>
    <x v="67"/>
    <x v="67"/>
    <x v="67"/>
    <x v="19"/>
    <x v="207"/>
    <x v="79"/>
    <x v="93"/>
    <x v="399"/>
    <x v="67"/>
    <x v="316"/>
    <x v="0"/>
  </r>
  <r>
    <x v="0"/>
    <x v="34"/>
    <x v="34"/>
    <x v="42"/>
    <x v="42"/>
    <x v="42"/>
    <x v="19"/>
    <x v="207"/>
    <x v="79"/>
    <x v="62"/>
    <x v="295"/>
    <x v="64"/>
    <x v="196"/>
    <x v="0"/>
  </r>
  <r>
    <x v="0"/>
    <x v="35"/>
    <x v="35"/>
    <x v="10"/>
    <x v="10"/>
    <x v="10"/>
    <x v="0"/>
    <x v="53"/>
    <x v="267"/>
    <x v="96"/>
    <x v="403"/>
    <x v="23"/>
    <x v="318"/>
    <x v="0"/>
  </r>
  <r>
    <x v="0"/>
    <x v="35"/>
    <x v="35"/>
    <x v="72"/>
    <x v="72"/>
    <x v="72"/>
    <x v="1"/>
    <x v="54"/>
    <x v="268"/>
    <x v="56"/>
    <x v="404"/>
    <x v="59"/>
    <x v="294"/>
    <x v="0"/>
  </r>
  <r>
    <x v="0"/>
    <x v="35"/>
    <x v="35"/>
    <x v="0"/>
    <x v="0"/>
    <x v="0"/>
    <x v="2"/>
    <x v="91"/>
    <x v="269"/>
    <x v="87"/>
    <x v="405"/>
    <x v="67"/>
    <x v="85"/>
    <x v="0"/>
  </r>
  <r>
    <x v="0"/>
    <x v="35"/>
    <x v="35"/>
    <x v="2"/>
    <x v="2"/>
    <x v="2"/>
    <x v="3"/>
    <x v="66"/>
    <x v="214"/>
    <x v="79"/>
    <x v="368"/>
    <x v="83"/>
    <x v="319"/>
    <x v="0"/>
  </r>
  <r>
    <x v="0"/>
    <x v="35"/>
    <x v="35"/>
    <x v="8"/>
    <x v="8"/>
    <x v="8"/>
    <x v="4"/>
    <x v="69"/>
    <x v="188"/>
    <x v="49"/>
    <x v="406"/>
    <x v="72"/>
    <x v="104"/>
    <x v="0"/>
  </r>
  <r>
    <x v="0"/>
    <x v="35"/>
    <x v="35"/>
    <x v="6"/>
    <x v="6"/>
    <x v="6"/>
    <x v="5"/>
    <x v="93"/>
    <x v="218"/>
    <x v="116"/>
    <x v="407"/>
    <x v="84"/>
    <x v="91"/>
    <x v="0"/>
  </r>
  <r>
    <x v="0"/>
    <x v="35"/>
    <x v="35"/>
    <x v="13"/>
    <x v="13"/>
    <x v="13"/>
    <x v="6"/>
    <x v="100"/>
    <x v="270"/>
    <x v="82"/>
    <x v="26"/>
    <x v="67"/>
    <x v="85"/>
    <x v="0"/>
  </r>
  <r>
    <x v="0"/>
    <x v="35"/>
    <x v="35"/>
    <x v="3"/>
    <x v="3"/>
    <x v="3"/>
    <x v="6"/>
    <x v="100"/>
    <x v="270"/>
    <x v="111"/>
    <x v="251"/>
    <x v="64"/>
    <x v="320"/>
    <x v="0"/>
  </r>
  <r>
    <x v="0"/>
    <x v="35"/>
    <x v="35"/>
    <x v="11"/>
    <x v="11"/>
    <x v="11"/>
    <x v="8"/>
    <x v="191"/>
    <x v="190"/>
    <x v="67"/>
    <x v="56"/>
    <x v="61"/>
    <x v="89"/>
    <x v="0"/>
  </r>
  <r>
    <x v="0"/>
    <x v="35"/>
    <x v="35"/>
    <x v="30"/>
    <x v="30"/>
    <x v="30"/>
    <x v="9"/>
    <x v="193"/>
    <x v="271"/>
    <x v="67"/>
    <x v="56"/>
    <x v="67"/>
    <x v="85"/>
    <x v="0"/>
  </r>
  <r>
    <x v="0"/>
    <x v="35"/>
    <x v="35"/>
    <x v="73"/>
    <x v="73"/>
    <x v="73"/>
    <x v="10"/>
    <x v="195"/>
    <x v="10"/>
    <x v="99"/>
    <x v="299"/>
    <x v="87"/>
    <x v="321"/>
    <x v="0"/>
  </r>
  <r>
    <x v="0"/>
    <x v="35"/>
    <x v="35"/>
    <x v="28"/>
    <x v="28"/>
    <x v="28"/>
    <x v="11"/>
    <x v="198"/>
    <x v="272"/>
    <x v="100"/>
    <x v="354"/>
    <x v="64"/>
    <x v="320"/>
    <x v="0"/>
  </r>
  <r>
    <x v="0"/>
    <x v="35"/>
    <x v="35"/>
    <x v="47"/>
    <x v="47"/>
    <x v="47"/>
    <x v="11"/>
    <x v="198"/>
    <x v="272"/>
    <x v="48"/>
    <x v="408"/>
    <x v="83"/>
    <x v="319"/>
    <x v="0"/>
  </r>
  <r>
    <x v="0"/>
    <x v="35"/>
    <x v="35"/>
    <x v="22"/>
    <x v="22"/>
    <x v="22"/>
    <x v="11"/>
    <x v="198"/>
    <x v="272"/>
    <x v="109"/>
    <x v="296"/>
    <x v="65"/>
    <x v="322"/>
    <x v="0"/>
  </r>
  <r>
    <x v="0"/>
    <x v="35"/>
    <x v="35"/>
    <x v="5"/>
    <x v="5"/>
    <x v="5"/>
    <x v="14"/>
    <x v="199"/>
    <x v="273"/>
    <x v="48"/>
    <x v="408"/>
    <x v="65"/>
    <x v="322"/>
    <x v="0"/>
  </r>
  <r>
    <x v="0"/>
    <x v="35"/>
    <x v="35"/>
    <x v="1"/>
    <x v="1"/>
    <x v="1"/>
    <x v="15"/>
    <x v="218"/>
    <x v="146"/>
    <x v="54"/>
    <x v="138"/>
    <x v="48"/>
    <x v="223"/>
    <x v="0"/>
  </r>
  <r>
    <x v="0"/>
    <x v="35"/>
    <x v="35"/>
    <x v="23"/>
    <x v="23"/>
    <x v="23"/>
    <x v="16"/>
    <x v="202"/>
    <x v="66"/>
    <x v="154"/>
    <x v="257"/>
    <x v="67"/>
    <x v="85"/>
    <x v="0"/>
  </r>
  <r>
    <x v="0"/>
    <x v="35"/>
    <x v="35"/>
    <x v="54"/>
    <x v="54"/>
    <x v="54"/>
    <x v="17"/>
    <x v="204"/>
    <x v="92"/>
    <x v="98"/>
    <x v="396"/>
    <x v="61"/>
    <x v="89"/>
    <x v="0"/>
  </r>
  <r>
    <x v="0"/>
    <x v="35"/>
    <x v="35"/>
    <x v="19"/>
    <x v="19"/>
    <x v="19"/>
    <x v="17"/>
    <x v="204"/>
    <x v="92"/>
    <x v="50"/>
    <x v="205"/>
    <x v="81"/>
    <x v="323"/>
    <x v="0"/>
  </r>
  <r>
    <x v="0"/>
    <x v="35"/>
    <x v="35"/>
    <x v="4"/>
    <x v="4"/>
    <x v="4"/>
    <x v="19"/>
    <x v="205"/>
    <x v="130"/>
    <x v="52"/>
    <x v="409"/>
    <x v="65"/>
    <x v="322"/>
    <x v="0"/>
  </r>
  <r>
    <x v="0"/>
    <x v="36"/>
    <x v="36"/>
    <x v="71"/>
    <x v="71"/>
    <x v="71"/>
    <x v="0"/>
    <x v="161"/>
    <x v="274"/>
    <x v="186"/>
    <x v="410"/>
    <x v="90"/>
    <x v="324"/>
    <x v="0"/>
  </r>
  <r>
    <x v="0"/>
    <x v="36"/>
    <x v="36"/>
    <x v="10"/>
    <x v="10"/>
    <x v="10"/>
    <x v="1"/>
    <x v="64"/>
    <x v="275"/>
    <x v="106"/>
    <x v="216"/>
    <x v="54"/>
    <x v="325"/>
    <x v="0"/>
  </r>
  <r>
    <x v="0"/>
    <x v="36"/>
    <x v="36"/>
    <x v="0"/>
    <x v="0"/>
    <x v="0"/>
    <x v="2"/>
    <x v="89"/>
    <x v="276"/>
    <x v="113"/>
    <x v="411"/>
    <x v="83"/>
    <x v="125"/>
    <x v="0"/>
  </r>
  <r>
    <x v="0"/>
    <x v="36"/>
    <x v="36"/>
    <x v="49"/>
    <x v="49"/>
    <x v="49"/>
    <x v="3"/>
    <x v="81"/>
    <x v="204"/>
    <x v="92"/>
    <x v="353"/>
    <x v="81"/>
    <x v="248"/>
    <x v="0"/>
  </r>
  <r>
    <x v="0"/>
    <x v="36"/>
    <x v="36"/>
    <x v="6"/>
    <x v="6"/>
    <x v="6"/>
    <x v="4"/>
    <x v="93"/>
    <x v="142"/>
    <x v="116"/>
    <x v="188"/>
    <x v="84"/>
    <x v="91"/>
    <x v="0"/>
  </r>
  <r>
    <x v="0"/>
    <x v="36"/>
    <x v="36"/>
    <x v="4"/>
    <x v="4"/>
    <x v="4"/>
    <x v="5"/>
    <x v="112"/>
    <x v="116"/>
    <x v="142"/>
    <x v="412"/>
    <x v="83"/>
    <x v="125"/>
    <x v="0"/>
  </r>
  <r>
    <x v="0"/>
    <x v="36"/>
    <x v="36"/>
    <x v="17"/>
    <x v="17"/>
    <x v="17"/>
    <x v="6"/>
    <x v="113"/>
    <x v="190"/>
    <x v="106"/>
    <x v="216"/>
    <x v="77"/>
    <x v="326"/>
    <x v="0"/>
  </r>
  <r>
    <x v="0"/>
    <x v="36"/>
    <x v="36"/>
    <x v="2"/>
    <x v="2"/>
    <x v="2"/>
    <x v="7"/>
    <x v="219"/>
    <x v="258"/>
    <x v="111"/>
    <x v="8"/>
    <x v="84"/>
    <x v="91"/>
    <x v="0"/>
  </r>
  <r>
    <x v="0"/>
    <x v="36"/>
    <x v="36"/>
    <x v="11"/>
    <x v="11"/>
    <x v="11"/>
    <x v="8"/>
    <x v="194"/>
    <x v="127"/>
    <x v="48"/>
    <x v="413"/>
    <x v="61"/>
    <x v="327"/>
    <x v="0"/>
  </r>
  <r>
    <x v="0"/>
    <x v="36"/>
    <x v="36"/>
    <x v="8"/>
    <x v="8"/>
    <x v="8"/>
    <x v="9"/>
    <x v="195"/>
    <x v="153"/>
    <x v="46"/>
    <x v="299"/>
    <x v="76"/>
    <x v="46"/>
    <x v="0"/>
  </r>
  <r>
    <x v="0"/>
    <x v="36"/>
    <x v="36"/>
    <x v="65"/>
    <x v="65"/>
    <x v="65"/>
    <x v="10"/>
    <x v="197"/>
    <x v="49"/>
    <x v="100"/>
    <x v="230"/>
    <x v="74"/>
    <x v="196"/>
    <x v="0"/>
  </r>
  <r>
    <x v="0"/>
    <x v="36"/>
    <x v="36"/>
    <x v="5"/>
    <x v="5"/>
    <x v="5"/>
    <x v="11"/>
    <x v="198"/>
    <x v="91"/>
    <x v="153"/>
    <x v="354"/>
    <x v="84"/>
    <x v="91"/>
    <x v="0"/>
  </r>
  <r>
    <x v="0"/>
    <x v="36"/>
    <x v="36"/>
    <x v="16"/>
    <x v="16"/>
    <x v="16"/>
    <x v="12"/>
    <x v="199"/>
    <x v="155"/>
    <x v="62"/>
    <x v="414"/>
    <x v="48"/>
    <x v="328"/>
    <x v="0"/>
  </r>
  <r>
    <x v="0"/>
    <x v="36"/>
    <x v="36"/>
    <x v="37"/>
    <x v="37"/>
    <x v="37"/>
    <x v="13"/>
    <x v="218"/>
    <x v="15"/>
    <x v="54"/>
    <x v="129"/>
    <x v="48"/>
    <x v="328"/>
    <x v="0"/>
  </r>
  <r>
    <x v="0"/>
    <x v="36"/>
    <x v="36"/>
    <x v="68"/>
    <x v="68"/>
    <x v="68"/>
    <x v="14"/>
    <x v="202"/>
    <x v="34"/>
    <x v="46"/>
    <x v="299"/>
    <x v="83"/>
    <x v="125"/>
    <x v="0"/>
  </r>
  <r>
    <x v="0"/>
    <x v="36"/>
    <x v="36"/>
    <x v="15"/>
    <x v="15"/>
    <x v="15"/>
    <x v="15"/>
    <x v="204"/>
    <x v="156"/>
    <x v="93"/>
    <x v="395"/>
    <x v="76"/>
    <x v="46"/>
    <x v="0"/>
  </r>
  <r>
    <x v="0"/>
    <x v="36"/>
    <x v="36"/>
    <x v="19"/>
    <x v="19"/>
    <x v="19"/>
    <x v="15"/>
    <x v="204"/>
    <x v="156"/>
    <x v="98"/>
    <x v="381"/>
    <x v="61"/>
    <x v="327"/>
    <x v="0"/>
  </r>
  <r>
    <x v="0"/>
    <x v="36"/>
    <x v="36"/>
    <x v="13"/>
    <x v="13"/>
    <x v="13"/>
    <x v="17"/>
    <x v="205"/>
    <x v="38"/>
    <x v="154"/>
    <x v="66"/>
    <x v="84"/>
    <x v="91"/>
    <x v="0"/>
  </r>
  <r>
    <x v="0"/>
    <x v="36"/>
    <x v="36"/>
    <x v="1"/>
    <x v="1"/>
    <x v="1"/>
    <x v="17"/>
    <x v="205"/>
    <x v="38"/>
    <x v="81"/>
    <x v="169"/>
    <x v="67"/>
    <x v="130"/>
    <x v="0"/>
  </r>
  <r>
    <x v="0"/>
    <x v="36"/>
    <x v="36"/>
    <x v="50"/>
    <x v="50"/>
    <x v="50"/>
    <x v="19"/>
    <x v="224"/>
    <x v="277"/>
    <x v="47"/>
    <x v="29"/>
    <x v="72"/>
    <x v="291"/>
    <x v="0"/>
  </r>
  <r>
    <x v="0"/>
    <x v="36"/>
    <x v="36"/>
    <x v="20"/>
    <x v="20"/>
    <x v="20"/>
    <x v="19"/>
    <x v="224"/>
    <x v="277"/>
    <x v="54"/>
    <x v="129"/>
    <x v="59"/>
    <x v="28"/>
    <x v="0"/>
  </r>
  <r>
    <x v="0"/>
    <x v="36"/>
    <x v="36"/>
    <x v="74"/>
    <x v="74"/>
    <x v="74"/>
    <x v="19"/>
    <x v="224"/>
    <x v="277"/>
    <x v="98"/>
    <x v="381"/>
    <x v="67"/>
    <x v="130"/>
    <x v="0"/>
  </r>
  <r>
    <x v="0"/>
    <x v="36"/>
    <x v="36"/>
    <x v="18"/>
    <x v="18"/>
    <x v="18"/>
    <x v="19"/>
    <x v="224"/>
    <x v="277"/>
    <x v="81"/>
    <x v="169"/>
    <x v="65"/>
    <x v="92"/>
    <x v="0"/>
  </r>
  <r>
    <x v="0"/>
    <x v="36"/>
    <x v="36"/>
    <x v="42"/>
    <x v="42"/>
    <x v="42"/>
    <x v="19"/>
    <x v="224"/>
    <x v="277"/>
    <x v="98"/>
    <x v="381"/>
    <x v="67"/>
    <x v="130"/>
    <x v="0"/>
  </r>
  <r>
    <x v="0"/>
    <x v="37"/>
    <x v="37"/>
    <x v="0"/>
    <x v="0"/>
    <x v="0"/>
    <x v="0"/>
    <x v="113"/>
    <x v="70"/>
    <x v="92"/>
    <x v="415"/>
    <x v="83"/>
    <x v="25"/>
    <x v="0"/>
  </r>
  <r>
    <x v="0"/>
    <x v="37"/>
    <x v="37"/>
    <x v="10"/>
    <x v="10"/>
    <x v="10"/>
    <x v="1"/>
    <x v="190"/>
    <x v="214"/>
    <x v="81"/>
    <x v="416"/>
    <x v="63"/>
    <x v="329"/>
    <x v="0"/>
  </r>
  <r>
    <x v="0"/>
    <x v="37"/>
    <x v="37"/>
    <x v="6"/>
    <x v="6"/>
    <x v="6"/>
    <x v="2"/>
    <x v="192"/>
    <x v="278"/>
    <x v="111"/>
    <x v="417"/>
    <x v="65"/>
    <x v="23"/>
    <x v="0"/>
  </r>
  <r>
    <x v="0"/>
    <x v="37"/>
    <x v="37"/>
    <x v="1"/>
    <x v="1"/>
    <x v="1"/>
    <x v="3"/>
    <x v="219"/>
    <x v="189"/>
    <x v="99"/>
    <x v="379"/>
    <x v="58"/>
    <x v="330"/>
    <x v="0"/>
  </r>
  <r>
    <x v="0"/>
    <x v="37"/>
    <x v="37"/>
    <x v="11"/>
    <x v="11"/>
    <x v="11"/>
    <x v="4"/>
    <x v="194"/>
    <x v="279"/>
    <x v="99"/>
    <x v="379"/>
    <x v="45"/>
    <x v="242"/>
    <x v="0"/>
  </r>
  <r>
    <x v="0"/>
    <x v="37"/>
    <x v="37"/>
    <x v="75"/>
    <x v="75"/>
    <x v="75"/>
    <x v="5"/>
    <x v="218"/>
    <x v="145"/>
    <x v="62"/>
    <x v="418"/>
    <x v="45"/>
    <x v="242"/>
    <x v="0"/>
  </r>
  <r>
    <x v="0"/>
    <x v="37"/>
    <x v="37"/>
    <x v="49"/>
    <x v="49"/>
    <x v="49"/>
    <x v="6"/>
    <x v="202"/>
    <x v="9"/>
    <x v="98"/>
    <x v="268"/>
    <x v="76"/>
    <x v="189"/>
    <x v="0"/>
  </r>
  <r>
    <x v="0"/>
    <x v="37"/>
    <x v="37"/>
    <x v="7"/>
    <x v="7"/>
    <x v="7"/>
    <x v="6"/>
    <x v="202"/>
    <x v="9"/>
    <x v="46"/>
    <x v="419"/>
    <x v="83"/>
    <x v="25"/>
    <x v="0"/>
  </r>
  <r>
    <x v="0"/>
    <x v="37"/>
    <x v="37"/>
    <x v="16"/>
    <x v="16"/>
    <x v="16"/>
    <x v="8"/>
    <x v="203"/>
    <x v="211"/>
    <x v="54"/>
    <x v="154"/>
    <x v="87"/>
    <x v="193"/>
    <x v="0"/>
  </r>
  <r>
    <x v="0"/>
    <x v="37"/>
    <x v="37"/>
    <x v="3"/>
    <x v="3"/>
    <x v="3"/>
    <x v="8"/>
    <x v="203"/>
    <x v="211"/>
    <x v="96"/>
    <x v="408"/>
    <x v="61"/>
    <x v="58"/>
    <x v="0"/>
  </r>
  <r>
    <x v="0"/>
    <x v="37"/>
    <x v="37"/>
    <x v="2"/>
    <x v="2"/>
    <x v="2"/>
    <x v="8"/>
    <x v="203"/>
    <x v="211"/>
    <x v="46"/>
    <x v="419"/>
    <x v="65"/>
    <x v="23"/>
    <x v="0"/>
  </r>
  <r>
    <x v="0"/>
    <x v="37"/>
    <x v="37"/>
    <x v="13"/>
    <x v="13"/>
    <x v="13"/>
    <x v="11"/>
    <x v="205"/>
    <x v="212"/>
    <x v="96"/>
    <x v="408"/>
    <x v="64"/>
    <x v="37"/>
    <x v="0"/>
  </r>
  <r>
    <x v="0"/>
    <x v="37"/>
    <x v="37"/>
    <x v="74"/>
    <x v="74"/>
    <x v="74"/>
    <x v="11"/>
    <x v="205"/>
    <x v="212"/>
    <x v="81"/>
    <x v="416"/>
    <x v="67"/>
    <x v="331"/>
    <x v="0"/>
  </r>
  <r>
    <x v="0"/>
    <x v="37"/>
    <x v="37"/>
    <x v="42"/>
    <x v="42"/>
    <x v="42"/>
    <x v="13"/>
    <x v="206"/>
    <x v="33"/>
    <x v="96"/>
    <x v="408"/>
    <x v="67"/>
    <x v="331"/>
    <x v="0"/>
  </r>
  <r>
    <x v="0"/>
    <x v="37"/>
    <x v="37"/>
    <x v="54"/>
    <x v="54"/>
    <x v="54"/>
    <x v="14"/>
    <x v="224"/>
    <x v="12"/>
    <x v="97"/>
    <x v="104"/>
    <x v="76"/>
    <x v="189"/>
    <x v="0"/>
  </r>
  <r>
    <x v="0"/>
    <x v="37"/>
    <x v="37"/>
    <x v="23"/>
    <x v="23"/>
    <x v="23"/>
    <x v="14"/>
    <x v="224"/>
    <x v="12"/>
    <x v="50"/>
    <x v="420"/>
    <x v="45"/>
    <x v="242"/>
    <x v="0"/>
  </r>
  <r>
    <x v="0"/>
    <x v="37"/>
    <x v="37"/>
    <x v="17"/>
    <x v="17"/>
    <x v="17"/>
    <x v="16"/>
    <x v="207"/>
    <x v="17"/>
    <x v="54"/>
    <x v="154"/>
    <x v="74"/>
    <x v="129"/>
    <x v="0"/>
  </r>
  <r>
    <x v="0"/>
    <x v="37"/>
    <x v="37"/>
    <x v="76"/>
    <x v="76"/>
    <x v="76"/>
    <x v="16"/>
    <x v="207"/>
    <x v="17"/>
    <x v="97"/>
    <x v="104"/>
    <x v="61"/>
    <x v="58"/>
    <x v="0"/>
  </r>
  <r>
    <x v="0"/>
    <x v="37"/>
    <x v="37"/>
    <x v="50"/>
    <x v="50"/>
    <x v="50"/>
    <x v="16"/>
    <x v="207"/>
    <x v="17"/>
    <x v="168"/>
    <x v="68"/>
    <x v="87"/>
    <x v="193"/>
    <x v="0"/>
  </r>
  <r>
    <x v="0"/>
    <x v="37"/>
    <x v="37"/>
    <x v="9"/>
    <x v="9"/>
    <x v="9"/>
    <x v="16"/>
    <x v="207"/>
    <x v="17"/>
    <x v="98"/>
    <x v="268"/>
    <x v="65"/>
    <x v="23"/>
    <x v="0"/>
  </r>
  <r>
    <x v="0"/>
    <x v="37"/>
    <x v="37"/>
    <x v="4"/>
    <x v="4"/>
    <x v="4"/>
    <x v="16"/>
    <x v="207"/>
    <x v="17"/>
    <x v="93"/>
    <x v="409"/>
    <x v="67"/>
    <x v="331"/>
    <x v="0"/>
  </r>
  <r>
    <x v="0"/>
    <x v="37"/>
    <x v="37"/>
    <x v="5"/>
    <x v="5"/>
    <x v="5"/>
    <x v="16"/>
    <x v="207"/>
    <x v="17"/>
    <x v="98"/>
    <x v="268"/>
    <x v="65"/>
    <x v="23"/>
    <x v="0"/>
  </r>
  <r>
    <x v="0"/>
    <x v="38"/>
    <x v="38"/>
    <x v="77"/>
    <x v="77"/>
    <x v="77"/>
    <x v="0"/>
    <x v="217"/>
    <x v="280"/>
    <x v="44"/>
    <x v="58"/>
    <x v="48"/>
    <x v="332"/>
    <x v="0"/>
  </r>
  <r>
    <x v="0"/>
    <x v="38"/>
    <x v="38"/>
    <x v="0"/>
    <x v="0"/>
    <x v="0"/>
    <x v="0"/>
    <x v="217"/>
    <x v="280"/>
    <x v="85"/>
    <x v="110"/>
    <x v="76"/>
    <x v="13"/>
    <x v="0"/>
  </r>
  <r>
    <x v="0"/>
    <x v="38"/>
    <x v="38"/>
    <x v="71"/>
    <x v="71"/>
    <x v="71"/>
    <x v="2"/>
    <x v="175"/>
    <x v="281"/>
    <x v="112"/>
    <x v="421"/>
    <x v="81"/>
    <x v="40"/>
    <x v="0"/>
  </r>
  <r>
    <x v="0"/>
    <x v="38"/>
    <x v="38"/>
    <x v="10"/>
    <x v="10"/>
    <x v="10"/>
    <x v="3"/>
    <x v="88"/>
    <x v="282"/>
    <x v="109"/>
    <x v="250"/>
    <x v="110"/>
    <x v="333"/>
    <x v="0"/>
  </r>
  <r>
    <x v="0"/>
    <x v="38"/>
    <x v="38"/>
    <x v="4"/>
    <x v="4"/>
    <x v="4"/>
    <x v="4"/>
    <x v="98"/>
    <x v="141"/>
    <x v="56"/>
    <x v="65"/>
    <x v="76"/>
    <x v="13"/>
    <x v="7"/>
  </r>
  <r>
    <x v="0"/>
    <x v="38"/>
    <x v="38"/>
    <x v="1"/>
    <x v="1"/>
    <x v="1"/>
    <x v="5"/>
    <x v="54"/>
    <x v="270"/>
    <x v="39"/>
    <x v="422"/>
    <x v="95"/>
    <x v="48"/>
    <x v="0"/>
  </r>
  <r>
    <x v="0"/>
    <x v="38"/>
    <x v="38"/>
    <x v="2"/>
    <x v="2"/>
    <x v="2"/>
    <x v="6"/>
    <x v="91"/>
    <x v="3"/>
    <x v="68"/>
    <x v="423"/>
    <x v="59"/>
    <x v="93"/>
    <x v="7"/>
  </r>
  <r>
    <x v="0"/>
    <x v="38"/>
    <x v="38"/>
    <x v="8"/>
    <x v="8"/>
    <x v="8"/>
    <x v="7"/>
    <x v="81"/>
    <x v="134"/>
    <x v="80"/>
    <x v="228"/>
    <x v="76"/>
    <x v="13"/>
    <x v="0"/>
  </r>
  <r>
    <x v="0"/>
    <x v="38"/>
    <x v="38"/>
    <x v="6"/>
    <x v="6"/>
    <x v="6"/>
    <x v="7"/>
    <x v="81"/>
    <x v="134"/>
    <x v="63"/>
    <x v="6"/>
    <x v="84"/>
    <x v="91"/>
    <x v="0"/>
  </r>
  <r>
    <x v="0"/>
    <x v="38"/>
    <x v="38"/>
    <x v="11"/>
    <x v="11"/>
    <x v="11"/>
    <x v="9"/>
    <x v="93"/>
    <x v="211"/>
    <x v="39"/>
    <x v="422"/>
    <x v="61"/>
    <x v="334"/>
    <x v="0"/>
  </r>
  <r>
    <x v="0"/>
    <x v="38"/>
    <x v="38"/>
    <x v="16"/>
    <x v="16"/>
    <x v="16"/>
    <x v="10"/>
    <x v="112"/>
    <x v="230"/>
    <x v="54"/>
    <x v="119"/>
    <x v="36"/>
    <x v="335"/>
    <x v="0"/>
  </r>
  <r>
    <x v="0"/>
    <x v="38"/>
    <x v="38"/>
    <x v="13"/>
    <x v="13"/>
    <x v="13"/>
    <x v="11"/>
    <x v="101"/>
    <x v="89"/>
    <x v="67"/>
    <x v="161"/>
    <x v="61"/>
    <x v="334"/>
    <x v="7"/>
  </r>
  <r>
    <x v="0"/>
    <x v="38"/>
    <x v="38"/>
    <x v="19"/>
    <x v="19"/>
    <x v="19"/>
    <x v="12"/>
    <x v="191"/>
    <x v="129"/>
    <x v="99"/>
    <x v="104"/>
    <x v="57"/>
    <x v="336"/>
    <x v="0"/>
  </r>
  <r>
    <x v="0"/>
    <x v="38"/>
    <x v="38"/>
    <x v="49"/>
    <x v="49"/>
    <x v="49"/>
    <x v="13"/>
    <x v="193"/>
    <x v="92"/>
    <x v="154"/>
    <x v="277"/>
    <x v="87"/>
    <x v="8"/>
    <x v="0"/>
  </r>
  <r>
    <x v="0"/>
    <x v="38"/>
    <x v="38"/>
    <x v="23"/>
    <x v="23"/>
    <x v="23"/>
    <x v="14"/>
    <x v="194"/>
    <x v="16"/>
    <x v="81"/>
    <x v="424"/>
    <x v="48"/>
    <x v="332"/>
    <x v="0"/>
  </r>
  <r>
    <x v="0"/>
    <x v="38"/>
    <x v="38"/>
    <x v="17"/>
    <x v="17"/>
    <x v="17"/>
    <x v="15"/>
    <x v="195"/>
    <x v="78"/>
    <x v="46"/>
    <x v="349"/>
    <x v="76"/>
    <x v="13"/>
    <x v="0"/>
  </r>
  <r>
    <x v="0"/>
    <x v="38"/>
    <x v="38"/>
    <x v="37"/>
    <x v="37"/>
    <x v="37"/>
    <x v="15"/>
    <x v="195"/>
    <x v="78"/>
    <x v="96"/>
    <x v="425"/>
    <x v="48"/>
    <x v="332"/>
    <x v="0"/>
  </r>
  <r>
    <x v="0"/>
    <x v="38"/>
    <x v="38"/>
    <x v="18"/>
    <x v="18"/>
    <x v="18"/>
    <x v="17"/>
    <x v="197"/>
    <x v="35"/>
    <x v="109"/>
    <x v="250"/>
    <x v="83"/>
    <x v="6"/>
    <x v="0"/>
  </r>
  <r>
    <x v="0"/>
    <x v="38"/>
    <x v="38"/>
    <x v="78"/>
    <x v="78"/>
    <x v="78"/>
    <x v="17"/>
    <x v="197"/>
    <x v="35"/>
    <x v="168"/>
    <x v="426"/>
    <x v="67"/>
    <x v="119"/>
    <x v="0"/>
  </r>
  <r>
    <x v="0"/>
    <x v="38"/>
    <x v="38"/>
    <x v="28"/>
    <x v="28"/>
    <x v="28"/>
    <x v="19"/>
    <x v="199"/>
    <x v="283"/>
    <x v="154"/>
    <x v="277"/>
    <x v="64"/>
    <x v="42"/>
    <x v="7"/>
  </r>
  <r>
    <x v="0"/>
    <x v="39"/>
    <x v="39"/>
    <x v="10"/>
    <x v="10"/>
    <x v="10"/>
    <x v="0"/>
    <x v="204"/>
    <x v="284"/>
    <x v="51"/>
    <x v="260"/>
    <x v="58"/>
    <x v="337"/>
    <x v="0"/>
  </r>
  <r>
    <x v="0"/>
    <x v="39"/>
    <x v="39"/>
    <x v="0"/>
    <x v="0"/>
    <x v="0"/>
    <x v="1"/>
    <x v="209"/>
    <x v="278"/>
    <x v="93"/>
    <x v="110"/>
    <x v="65"/>
    <x v="42"/>
    <x v="0"/>
  </r>
  <r>
    <x v="0"/>
    <x v="39"/>
    <x v="39"/>
    <x v="4"/>
    <x v="4"/>
    <x v="4"/>
    <x v="1"/>
    <x v="209"/>
    <x v="278"/>
    <x v="47"/>
    <x v="199"/>
    <x v="74"/>
    <x v="259"/>
    <x v="0"/>
  </r>
  <r>
    <x v="0"/>
    <x v="39"/>
    <x v="39"/>
    <x v="16"/>
    <x v="16"/>
    <x v="16"/>
    <x v="3"/>
    <x v="227"/>
    <x v="116"/>
    <x v="50"/>
    <x v="418"/>
    <x v="61"/>
    <x v="30"/>
    <x v="0"/>
  </r>
  <r>
    <x v="0"/>
    <x v="39"/>
    <x v="39"/>
    <x v="37"/>
    <x v="37"/>
    <x v="37"/>
    <x v="3"/>
    <x v="227"/>
    <x v="116"/>
    <x v="50"/>
    <x v="418"/>
    <x v="61"/>
    <x v="30"/>
    <x v="0"/>
  </r>
  <r>
    <x v="0"/>
    <x v="39"/>
    <x v="39"/>
    <x v="2"/>
    <x v="2"/>
    <x v="2"/>
    <x v="3"/>
    <x v="227"/>
    <x v="116"/>
    <x v="54"/>
    <x v="427"/>
    <x v="65"/>
    <x v="42"/>
    <x v="0"/>
  </r>
  <r>
    <x v="0"/>
    <x v="39"/>
    <x v="39"/>
    <x v="17"/>
    <x v="17"/>
    <x v="17"/>
    <x v="6"/>
    <x v="228"/>
    <x v="271"/>
    <x v="53"/>
    <x v="298"/>
    <x v="67"/>
    <x v="57"/>
    <x v="0"/>
  </r>
  <r>
    <x v="0"/>
    <x v="39"/>
    <x v="39"/>
    <x v="1"/>
    <x v="1"/>
    <x v="1"/>
    <x v="6"/>
    <x v="228"/>
    <x v="271"/>
    <x v="107"/>
    <x v="134"/>
    <x v="59"/>
    <x v="225"/>
    <x v="0"/>
  </r>
  <r>
    <x v="0"/>
    <x v="39"/>
    <x v="39"/>
    <x v="3"/>
    <x v="3"/>
    <x v="3"/>
    <x v="6"/>
    <x v="228"/>
    <x v="271"/>
    <x v="53"/>
    <x v="298"/>
    <x v="67"/>
    <x v="57"/>
    <x v="0"/>
  </r>
  <r>
    <x v="0"/>
    <x v="39"/>
    <x v="39"/>
    <x v="79"/>
    <x v="79"/>
    <x v="79"/>
    <x v="6"/>
    <x v="228"/>
    <x v="271"/>
    <x v="50"/>
    <x v="418"/>
    <x v="74"/>
    <x v="259"/>
    <x v="0"/>
  </r>
  <r>
    <x v="0"/>
    <x v="39"/>
    <x v="39"/>
    <x v="66"/>
    <x v="66"/>
    <x v="66"/>
    <x v="10"/>
    <x v="229"/>
    <x v="30"/>
    <x v="51"/>
    <x v="260"/>
    <x v="67"/>
    <x v="57"/>
    <x v="0"/>
  </r>
  <r>
    <x v="0"/>
    <x v="39"/>
    <x v="39"/>
    <x v="11"/>
    <x v="11"/>
    <x v="11"/>
    <x v="10"/>
    <x v="229"/>
    <x v="30"/>
    <x v="51"/>
    <x v="260"/>
    <x v="67"/>
    <x v="57"/>
    <x v="0"/>
  </r>
  <r>
    <x v="0"/>
    <x v="39"/>
    <x v="39"/>
    <x v="6"/>
    <x v="6"/>
    <x v="6"/>
    <x v="10"/>
    <x v="229"/>
    <x v="30"/>
    <x v="97"/>
    <x v="428"/>
    <x v="84"/>
    <x v="91"/>
    <x v="0"/>
  </r>
  <r>
    <x v="0"/>
    <x v="39"/>
    <x v="39"/>
    <x v="29"/>
    <x v="29"/>
    <x v="29"/>
    <x v="13"/>
    <x v="230"/>
    <x v="11"/>
    <x v="168"/>
    <x v="10"/>
    <x v="64"/>
    <x v="211"/>
    <x v="0"/>
  </r>
  <r>
    <x v="0"/>
    <x v="39"/>
    <x v="39"/>
    <x v="80"/>
    <x v="80"/>
    <x v="80"/>
    <x v="13"/>
    <x v="230"/>
    <x v="11"/>
    <x v="168"/>
    <x v="10"/>
    <x v="64"/>
    <x v="211"/>
    <x v="0"/>
  </r>
  <r>
    <x v="0"/>
    <x v="39"/>
    <x v="39"/>
    <x v="28"/>
    <x v="28"/>
    <x v="28"/>
    <x v="13"/>
    <x v="230"/>
    <x v="11"/>
    <x v="53"/>
    <x v="298"/>
    <x v="65"/>
    <x v="42"/>
    <x v="0"/>
  </r>
  <r>
    <x v="0"/>
    <x v="39"/>
    <x v="39"/>
    <x v="8"/>
    <x v="8"/>
    <x v="8"/>
    <x v="13"/>
    <x v="230"/>
    <x v="11"/>
    <x v="51"/>
    <x v="260"/>
    <x v="83"/>
    <x v="100"/>
    <x v="0"/>
  </r>
  <r>
    <x v="0"/>
    <x v="39"/>
    <x v="39"/>
    <x v="26"/>
    <x v="26"/>
    <x v="26"/>
    <x v="13"/>
    <x v="230"/>
    <x v="11"/>
    <x v="107"/>
    <x v="134"/>
    <x v="74"/>
    <x v="259"/>
    <x v="0"/>
  </r>
  <r>
    <x v="0"/>
    <x v="39"/>
    <x v="39"/>
    <x v="20"/>
    <x v="20"/>
    <x v="20"/>
    <x v="13"/>
    <x v="230"/>
    <x v="11"/>
    <x v="50"/>
    <x v="418"/>
    <x v="67"/>
    <x v="57"/>
    <x v="0"/>
  </r>
  <r>
    <x v="0"/>
    <x v="39"/>
    <x v="39"/>
    <x v="42"/>
    <x v="42"/>
    <x v="42"/>
    <x v="13"/>
    <x v="230"/>
    <x v="11"/>
    <x v="53"/>
    <x v="298"/>
    <x v="65"/>
    <x v="42"/>
    <x v="0"/>
  </r>
  <r>
    <x v="0"/>
    <x v="39"/>
    <x v="39"/>
    <x v="27"/>
    <x v="27"/>
    <x v="27"/>
    <x v="13"/>
    <x v="230"/>
    <x v="11"/>
    <x v="107"/>
    <x v="134"/>
    <x v="74"/>
    <x v="259"/>
    <x v="0"/>
  </r>
  <r>
    <x v="0"/>
    <x v="40"/>
    <x v="40"/>
    <x v="51"/>
    <x v="51"/>
    <x v="51"/>
    <x v="0"/>
    <x v="134"/>
    <x v="285"/>
    <x v="39"/>
    <x v="196"/>
    <x v="79"/>
    <x v="338"/>
    <x v="0"/>
  </r>
  <r>
    <x v="0"/>
    <x v="40"/>
    <x v="40"/>
    <x v="52"/>
    <x v="52"/>
    <x v="52"/>
    <x v="1"/>
    <x v="101"/>
    <x v="286"/>
    <x v="125"/>
    <x v="393"/>
    <x v="45"/>
    <x v="145"/>
    <x v="0"/>
  </r>
  <r>
    <x v="0"/>
    <x v="40"/>
    <x v="40"/>
    <x v="53"/>
    <x v="53"/>
    <x v="53"/>
    <x v="2"/>
    <x v="191"/>
    <x v="263"/>
    <x v="49"/>
    <x v="429"/>
    <x v="84"/>
    <x v="91"/>
    <x v="0"/>
  </r>
  <r>
    <x v="0"/>
    <x v="40"/>
    <x v="40"/>
    <x v="0"/>
    <x v="0"/>
    <x v="0"/>
    <x v="3"/>
    <x v="219"/>
    <x v="244"/>
    <x v="111"/>
    <x v="427"/>
    <x v="84"/>
    <x v="91"/>
    <x v="0"/>
  </r>
  <r>
    <x v="0"/>
    <x v="40"/>
    <x v="40"/>
    <x v="17"/>
    <x v="17"/>
    <x v="17"/>
    <x v="4"/>
    <x v="195"/>
    <x v="287"/>
    <x v="48"/>
    <x v="199"/>
    <x v="74"/>
    <x v="131"/>
    <x v="0"/>
  </r>
  <r>
    <x v="0"/>
    <x v="40"/>
    <x v="40"/>
    <x v="49"/>
    <x v="49"/>
    <x v="49"/>
    <x v="5"/>
    <x v="197"/>
    <x v="223"/>
    <x v="48"/>
    <x v="199"/>
    <x v="67"/>
    <x v="339"/>
    <x v="0"/>
  </r>
  <r>
    <x v="0"/>
    <x v="40"/>
    <x v="40"/>
    <x v="11"/>
    <x v="11"/>
    <x v="11"/>
    <x v="6"/>
    <x v="218"/>
    <x v="73"/>
    <x v="99"/>
    <x v="430"/>
    <x v="61"/>
    <x v="64"/>
    <x v="0"/>
  </r>
  <r>
    <x v="0"/>
    <x v="40"/>
    <x v="40"/>
    <x v="10"/>
    <x v="10"/>
    <x v="10"/>
    <x v="7"/>
    <x v="202"/>
    <x v="142"/>
    <x v="93"/>
    <x v="409"/>
    <x v="77"/>
    <x v="340"/>
    <x v="0"/>
  </r>
  <r>
    <x v="0"/>
    <x v="40"/>
    <x v="40"/>
    <x v="8"/>
    <x v="8"/>
    <x v="8"/>
    <x v="8"/>
    <x v="204"/>
    <x v="26"/>
    <x v="96"/>
    <x v="260"/>
    <x v="74"/>
    <x v="131"/>
    <x v="0"/>
  </r>
  <r>
    <x v="0"/>
    <x v="40"/>
    <x v="40"/>
    <x v="2"/>
    <x v="2"/>
    <x v="2"/>
    <x v="9"/>
    <x v="205"/>
    <x v="172"/>
    <x v="154"/>
    <x v="298"/>
    <x v="84"/>
    <x v="91"/>
    <x v="0"/>
  </r>
  <r>
    <x v="0"/>
    <x v="40"/>
    <x v="40"/>
    <x v="6"/>
    <x v="6"/>
    <x v="6"/>
    <x v="9"/>
    <x v="205"/>
    <x v="172"/>
    <x v="154"/>
    <x v="298"/>
    <x v="84"/>
    <x v="91"/>
    <x v="0"/>
  </r>
  <r>
    <x v="0"/>
    <x v="40"/>
    <x v="40"/>
    <x v="16"/>
    <x v="16"/>
    <x v="16"/>
    <x v="11"/>
    <x v="207"/>
    <x v="288"/>
    <x v="62"/>
    <x v="418"/>
    <x v="64"/>
    <x v="341"/>
    <x v="0"/>
  </r>
  <r>
    <x v="0"/>
    <x v="40"/>
    <x v="40"/>
    <x v="19"/>
    <x v="19"/>
    <x v="19"/>
    <x v="11"/>
    <x v="207"/>
    <x v="288"/>
    <x v="54"/>
    <x v="154"/>
    <x v="74"/>
    <x v="131"/>
    <x v="0"/>
  </r>
  <r>
    <x v="0"/>
    <x v="40"/>
    <x v="40"/>
    <x v="68"/>
    <x v="68"/>
    <x v="68"/>
    <x v="13"/>
    <x v="208"/>
    <x v="91"/>
    <x v="69"/>
    <x v="39"/>
    <x v="65"/>
    <x v="150"/>
    <x v="0"/>
  </r>
  <r>
    <x v="0"/>
    <x v="40"/>
    <x v="40"/>
    <x v="42"/>
    <x v="42"/>
    <x v="42"/>
    <x v="13"/>
    <x v="208"/>
    <x v="91"/>
    <x v="93"/>
    <x v="409"/>
    <x v="83"/>
    <x v="282"/>
    <x v="0"/>
  </r>
  <r>
    <x v="0"/>
    <x v="40"/>
    <x v="40"/>
    <x v="29"/>
    <x v="29"/>
    <x v="29"/>
    <x v="15"/>
    <x v="226"/>
    <x v="79"/>
    <x v="53"/>
    <x v="10"/>
    <x v="74"/>
    <x v="131"/>
    <x v="0"/>
  </r>
  <r>
    <x v="0"/>
    <x v="40"/>
    <x v="40"/>
    <x v="20"/>
    <x v="20"/>
    <x v="20"/>
    <x v="15"/>
    <x v="226"/>
    <x v="79"/>
    <x v="47"/>
    <x v="193"/>
    <x v="64"/>
    <x v="341"/>
    <x v="0"/>
  </r>
  <r>
    <x v="0"/>
    <x v="40"/>
    <x v="40"/>
    <x v="3"/>
    <x v="3"/>
    <x v="3"/>
    <x v="15"/>
    <x v="226"/>
    <x v="79"/>
    <x v="93"/>
    <x v="409"/>
    <x v="84"/>
    <x v="91"/>
    <x v="0"/>
  </r>
  <r>
    <x v="0"/>
    <x v="40"/>
    <x v="40"/>
    <x v="65"/>
    <x v="65"/>
    <x v="65"/>
    <x v="18"/>
    <x v="227"/>
    <x v="38"/>
    <x v="62"/>
    <x v="418"/>
    <x v="84"/>
    <x v="91"/>
    <x v="0"/>
  </r>
  <r>
    <x v="0"/>
    <x v="40"/>
    <x v="40"/>
    <x v="81"/>
    <x v="81"/>
    <x v="81"/>
    <x v="18"/>
    <x v="227"/>
    <x v="38"/>
    <x v="47"/>
    <x v="193"/>
    <x v="67"/>
    <x v="339"/>
    <x v="0"/>
  </r>
  <r>
    <x v="0"/>
    <x v="40"/>
    <x v="40"/>
    <x v="30"/>
    <x v="30"/>
    <x v="30"/>
    <x v="18"/>
    <x v="227"/>
    <x v="38"/>
    <x v="54"/>
    <x v="154"/>
    <x v="65"/>
    <x v="150"/>
    <x v="0"/>
  </r>
  <r>
    <x v="0"/>
    <x v="40"/>
    <x v="40"/>
    <x v="13"/>
    <x v="13"/>
    <x v="13"/>
    <x v="18"/>
    <x v="227"/>
    <x v="38"/>
    <x v="97"/>
    <x v="122"/>
    <x v="83"/>
    <x v="282"/>
    <x v="0"/>
  </r>
  <r>
    <x v="0"/>
    <x v="40"/>
    <x v="40"/>
    <x v="23"/>
    <x v="23"/>
    <x v="23"/>
    <x v="18"/>
    <x v="227"/>
    <x v="38"/>
    <x v="97"/>
    <x v="122"/>
    <x v="83"/>
    <x v="282"/>
    <x v="0"/>
  </r>
  <r>
    <x v="0"/>
    <x v="41"/>
    <x v="41"/>
    <x v="43"/>
    <x v="43"/>
    <x v="43"/>
    <x v="0"/>
    <x v="193"/>
    <x v="1"/>
    <x v="54"/>
    <x v="408"/>
    <x v="43"/>
    <x v="342"/>
    <x v="0"/>
  </r>
  <r>
    <x v="0"/>
    <x v="41"/>
    <x v="41"/>
    <x v="0"/>
    <x v="0"/>
    <x v="0"/>
    <x v="1"/>
    <x v="195"/>
    <x v="201"/>
    <x v="108"/>
    <x v="431"/>
    <x v="83"/>
    <x v="45"/>
    <x v="0"/>
  </r>
  <r>
    <x v="0"/>
    <x v="41"/>
    <x v="41"/>
    <x v="10"/>
    <x v="10"/>
    <x v="10"/>
    <x v="2"/>
    <x v="197"/>
    <x v="289"/>
    <x v="50"/>
    <x v="129"/>
    <x v="63"/>
    <x v="343"/>
    <x v="0"/>
  </r>
  <r>
    <x v="0"/>
    <x v="41"/>
    <x v="41"/>
    <x v="42"/>
    <x v="42"/>
    <x v="42"/>
    <x v="3"/>
    <x v="202"/>
    <x v="219"/>
    <x v="99"/>
    <x v="212"/>
    <x v="74"/>
    <x v="58"/>
    <x v="0"/>
  </r>
  <r>
    <x v="0"/>
    <x v="41"/>
    <x v="41"/>
    <x v="11"/>
    <x v="11"/>
    <x v="11"/>
    <x v="4"/>
    <x v="204"/>
    <x v="290"/>
    <x v="96"/>
    <x v="432"/>
    <x v="74"/>
    <x v="58"/>
    <x v="0"/>
  </r>
  <r>
    <x v="0"/>
    <x v="41"/>
    <x v="41"/>
    <x v="4"/>
    <x v="4"/>
    <x v="4"/>
    <x v="5"/>
    <x v="205"/>
    <x v="25"/>
    <x v="81"/>
    <x v="433"/>
    <x v="67"/>
    <x v="284"/>
    <x v="0"/>
  </r>
  <r>
    <x v="0"/>
    <x v="41"/>
    <x v="41"/>
    <x v="29"/>
    <x v="29"/>
    <x v="29"/>
    <x v="6"/>
    <x v="206"/>
    <x v="64"/>
    <x v="47"/>
    <x v="121"/>
    <x v="77"/>
    <x v="62"/>
    <x v="0"/>
  </r>
  <r>
    <x v="0"/>
    <x v="41"/>
    <x v="41"/>
    <x v="1"/>
    <x v="1"/>
    <x v="1"/>
    <x v="7"/>
    <x v="224"/>
    <x v="7"/>
    <x v="97"/>
    <x v="200"/>
    <x v="76"/>
    <x v="201"/>
    <x v="0"/>
  </r>
  <r>
    <x v="0"/>
    <x v="41"/>
    <x v="41"/>
    <x v="2"/>
    <x v="2"/>
    <x v="2"/>
    <x v="7"/>
    <x v="224"/>
    <x v="7"/>
    <x v="81"/>
    <x v="433"/>
    <x v="65"/>
    <x v="138"/>
    <x v="0"/>
  </r>
  <r>
    <x v="0"/>
    <x v="41"/>
    <x v="41"/>
    <x v="6"/>
    <x v="6"/>
    <x v="6"/>
    <x v="9"/>
    <x v="225"/>
    <x v="88"/>
    <x v="81"/>
    <x v="433"/>
    <x v="84"/>
    <x v="91"/>
    <x v="0"/>
  </r>
  <r>
    <x v="0"/>
    <x v="41"/>
    <x v="41"/>
    <x v="5"/>
    <x v="5"/>
    <x v="5"/>
    <x v="9"/>
    <x v="225"/>
    <x v="88"/>
    <x v="98"/>
    <x v="343"/>
    <x v="83"/>
    <x v="45"/>
    <x v="0"/>
  </r>
  <r>
    <x v="0"/>
    <x v="41"/>
    <x v="41"/>
    <x v="8"/>
    <x v="8"/>
    <x v="8"/>
    <x v="11"/>
    <x v="207"/>
    <x v="235"/>
    <x v="93"/>
    <x v="394"/>
    <x v="67"/>
    <x v="284"/>
    <x v="0"/>
  </r>
  <r>
    <x v="0"/>
    <x v="41"/>
    <x v="41"/>
    <x v="17"/>
    <x v="17"/>
    <x v="17"/>
    <x v="12"/>
    <x v="208"/>
    <x v="273"/>
    <x v="51"/>
    <x v="425"/>
    <x v="76"/>
    <x v="201"/>
    <x v="0"/>
  </r>
  <r>
    <x v="0"/>
    <x v="41"/>
    <x v="41"/>
    <x v="82"/>
    <x v="82"/>
    <x v="82"/>
    <x v="13"/>
    <x v="209"/>
    <x v="66"/>
    <x v="168"/>
    <x v="191"/>
    <x v="72"/>
    <x v="344"/>
    <x v="0"/>
  </r>
  <r>
    <x v="0"/>
    <x v="41"/>
    <x v="41"/>
    <x v="12"/>
    <x v="12"/>
    <x v="12"/>
    <x v="13"/>
    <x v="209"/>
    <x v="66"/>
    <x v="107"/>
    <x v="134"/>
    <x v="77"/>
    <x v="62"/>
    <x v="0"/>
  </r>
  <r>
    <x v="0"/>
    <x v="41"/>
    <x v="41"/>
    <x v="16"/>
    <x v="16"/>
    <x v="16"/>
    <x v="15"/>
    <x v="226"/>
    <x v="15"/>
    <x v="107"/>
    <x v="134"/>
    <x v="72"/>
    <x v="344"/>
    <x v="0"/>
  </r>
  <r>
    <x v="0"/>
    <x v="41"/>
    <x v="41"/>
    <x v="49"/>
    <x v="49"/>
    <x v="49"/>
    <x v="15"/>
    <x v="226"/>
    <x v="15"/>
    <x v="47"/>
    <x v="121"/>
    <x v="64"/>
    <x v="70"/>
    <x v="0"/>
  </r>
  <r>
    <x v="0"/>
    <x v="41"/>
    <x v="41"/>
    <x v="37"/>
    <x v="37"/>
    <x v="37"/>
    <x v="15"/>
    <x v="226"/>
    <x v="15"/>
    <x v="50"/>
    <x v="129"/>
    <x v="59"/>
    <x v="345"/>
    <x v="0"/>
  </r>
  <r>
    <x v="0"/>
    <x v="41"/>
    <x v="41"/>
    <x v="20"/>
    <x v="20"/>
    <x v="20"/>
    <x v="15"/>
    <x v="226"/>
    <x v="15"/>
    <x v="53"/>
    <x v="375"/>
    <x v="74"/>
    <x v="58"/>
    <x v="0"/>
  </r>
  <r>
    <x v="0"/>
    <x v="41"/>
    <x v="41"/>
    <x v="70"/>
    <x v="70"/>
    <x v="70"/>
    <x v="19"/>
    <x v="227"/>
    <x v="165"/>
    <x v="168"/>
    <x v="191"/>
    <x v="59"/>
    <x v="345"/>
    <x v="0"/>
  </r>
  <r>
    <x v="0"/>
    <x v="41"/>
    <x v="41"/>
    <x v="13"/>
    <x v="13"/>
    <x v="13"/>
    <x v="19"/>
    <x v="227"/>
    <x v="165"/>
    <x v="53"/>
    <x v="375"/>
    <x v="64"/>
    <x v="70"/>
    <x v="0"/>
  </r>
  <r>
    <x v="0"/>
    <x v="42"/>
    <x v="42"/>
    <x v="0"/>
    <x v="0"/>
    <x v="0"/>
    <x v="0"/>
    <x v="69"/>
    <x v="291"/>
    <x v="142"/>
    <x v="434"/>
    <x v="74"/>
    <x v="234"/>
    <x v="0"/>
  </r>
  <r>
    <x v="0"/>
    <x v="42"/>
    <x v="42"/>
    <x v="7"/>
    <x v="7"/>
    <x v="7"/>
    <x v="1"/>
    <x v="197"/>
    <x v="292"/>
    <x v="108"/>
    <x v="435"/>
    <x v="84"/>
    <x v="91"/>
    <x v="0"/>
  </r>
  <r>
    <x v="0"/>
    <x v="42"/>
    <x v="42"/>
    <x v="4"/>
    <x v="4"/>
    <x v="4"/>
    <x v="2"/>
    <x v="199"/>
    <x v="293"/>
    <x v="125"/>
    <x v="436"/>
    <x v="83"/>
    <x v="346"/>
    <x v="0"/>
  </r>
  <r>
    <x v="0"/>
    <x v="42"/>
    <x v="42"/>
    <x v="6"/>
    <x v="6"/>
    <x v="6"/>
    <x v="3"/>
    <x v="218"/>
    <x v="294"/>
    <x v="48"/>
    <x v="437"/>
    <x v="84"/>
    <x v="91"/>
    <x v="0"/>
  </r>
  <r>
    <x v="0"/>
    <x v="42"/>
    <x v="42"/>
    <x v="5"/>
    <x v="5"/>
    <x v="5"/>
    <x v="4"/>
    <x v="202"/>
    <x v="204"/>
    <x v="46"/>
    <x v="438"/>
    <x v="83"/>
    <x v="346"/>
    <x v="0"/>
  </r>
  <r>
    <x v="0"/>
    <x v="42"/>
    <x v="42"/>
    <x v="10"/>
    <x v="10"/>
    <x v="10"/>
    <x v="5"/>
    <x v="204"/>
    <x v="242"/>
    <x v="168"/>
    <x v="131"/>
    <x v="57"/>
    <x v="347"/>
    <x v="0"/>
  </r>
  <r>
    <x v="0"/>
    <x v="42"/>
    <x v="42"/>
    <x v="16"/>
    <x v="16"/>
    <x v="16"/>
    <x v="6"/>
    <x v="206"/>
    <x v="290"/>
    <x v="50"/>
    <x v="88"/>
    <x v="48"/>
    <x v="348"/>
    <x v="0"/>
  </r>
  <r>
    <x v="0"/>
    <x v="42"/>
    <x v="42"/>
    <x v="1"/>
    <x v="1"/>
    <x v="1"/>
    <x v="6"/>
    <x v="206"/>
    <x v="290"/>
    <x v="47"/>
    <x v="31"/>
    <x v="77"/>
    <x v="349"/>
    <x v="0"/>
  </r>
  <r>
    <x v="0"/>
    <x v="42"/>
    <x v="42"/>
    <x v="2"/>
    <x v="2"/>
    <x v="2"/>
    <x v="8"/>
    <x v="225"/>
    <x v="27"/>
    <x v="81"/>
    <x v="265"/>
    <x v="84"/>
    <x v="91"/>
    <x v="0"/>
  </r>
  <r>
    <x v="0"/>
    <x v="42"/>
    <x v="42"/>
    <x v="11"/>
    <x v="11"/>
    <x v="11"/>
    <x v="9"/>
    <x v="207"/>
    <x v="295"/>
    <x v="54"/>
    <x v="439"/>
    <x v="74"/>
    <x v="234"/>
    <x v="0"/>
  </r>
  <r>
    <x v="0"/>
    <x v="42"/>
    <x v="42"/>
    <x v="18"/>
    <x v="18"/>
    <x v="18"/>
    <x v="9"/>
    <x v="207"/>
    <x v="295"/>
    <x v="93"/>
    <x v="69"/>
    <x v="67"/>
    <x v="191"/>
    <x v="0"/>
  </r>
  <r>
    <x v="0"/>
    <x v="42"/>
    <x v="42"/>
    <x v="37"/>
    <x v="37"/>
    <x v="37"/>
    <x v="11"/>
    <x v="208"/>
    <x v="296"/>
    <x v="51"/>
    <x v="18"/>
    <x v="76"/>
    <x v="350"/>
    <x v="0"/>
  </r>
  <r>
    <x v="0"/>
    <x v="42"/>
    <x v="42"/>
    <x v="8"/>
    <x v="8"/>
    <x v="8"/>
    <x v="12"/>
    <x v="209"/>
    <x v="173"/>
    <x v="54"/>
    <x v="439"/>
    <x v="67"/>
    <x v="191"/>
    <x v="0"/>
  </r>
  <r>
    <x v="0"/>
    <x v="42"/>
    <x v="42"/>
    <x v="83"/>
    <x v="83"/>
    <x v="83"/>
    <x v="13"/>
    <x v="226"/>
    <x v="89"/>
    <x v="50"/>
    <x v="88"/>
    <x v="59"/>
    <x v="136"/>
    <x v="0"/>
  </r>
  <r>
    <x v="0"/>
    <x v="42"/>
    <x v="42"/>
    <x v="14"/>
    <x v="14"/>
    <x v="14"/>
    <x v="13"/>
    <x v="226"/>
    <x v="89"/>
    <x v="53"/>
    <x v="37"/>
    <x v="74"/>
    <x v="234"/>
    <x v="0"/>
  </r>
  <r>
    <x v="0"/>
    <x v="42"/>
    <x v="42"/>
    <x v="23"/>
    <x v="23"/>
    <x v="23"/>
    <x v="13"/>
    <x v="226"/>
    <x v="89"/>
    <x v="54"/>
    <x v="439"/>
    <x v="83"/>
    <x v="346"/>
    <x v="0"/>
  </r>
  <r>
    <x v="0"/>
    <x v="42"/>
    <x v="42"/>
    <x v="84"/>
    <x v="84"/>
    <x v="84"/>
    <x v="13"/>
    <x v="226"/>
    <x v="89"/>
    <x v="54"/>
    <x v="439"/>
    <x v="65"/>
    <x v="55"/>
    <x v="7"/>
  </r>
  <r>
    <x v="0"/>
    <x v="42"/>
    <x v="42"/>
    <x v="19"/>
    <x v="19"/>
    <x v="19"/>
    <x v="17"/>
    <x v="227"/>
    <x v="52"/>
    <x v="53"/>
    <x v="37"/>
    <x v="64"/>
    <x v="167"/>
    <x v="0"/>
  </r>
  <r>
    <x v="0"/>
    <x v="42"/>
    <x v="42"/>
    <x v="12"/>
    <x v="12"/>
    <x v="12"/>
    <x v="17"/>
    <x v="227"/>
    <x v="52"/>
    <x v="168"/>
    <x v="131"/>
    <x v="59"/>
    <x v="136"/>
    <x v="0"/>
  </r>
  <r>
    <x v="0"/>
    <x v="42"/>
    <x v="42"/>
    <x v="9"/>
    <x v="9"/>
    <x v="9"/>
    <x v="17"/>
    <x v="227"/>
    <x v="52"/>
    <x v="62"/>
    <x v="386"/>
    <x v="84"/>
    <x v="91"/>
    <x v="0"/>
  </r>
  <r>
    <x v="0"/>
    <x v="42"/>
    <x v="42"/>
    <x v="22"/>
    <x v="22"/>
    <x v="22"/>
    <x v="17"/>
    <x v="227"/>
    <x v="52"/>
    <x v="62"/>
    <x v="386"/>
    <x v="84"/>
    <x v="91"/>
    <x v="0"/>
  </r>
  <r>
    <x v="0"/>
    <x v="42"/>
    <x v="42"/>
    <x v="44"/>
    <x v="44"/>
    <x v="44"/>
    <x v="17"/>
    <x v="227"/>
    <x v="52"/>
    <x v="97"/>
    <x v="440"/>
    <x v="83"/>
    <x v="346"/>
    <x v="0"/>
  </r>
  <r>
    <x v="0"/>
    <x v="43"/>
    <x v="43"/>
    <x v="10"/>
    <x v="10"/>
    <x v="10"/>
    <x v="0"/>
    <x v="197"/>
    <x v="297"/>
    <x v="69"/>
    <x v="185"/>
    <x v="48"/>
    <x v="351"/>
    <x v="0"/>
  </r>
  <r>
    <x v="0"/>
    <x v="43"/>
    <x v="43"/>
    <x v="0"/>
    <x v="0"/>
    <x v="0"/>
    <x v="1"/>
    <x v="208"/>
    <x v="298"/>
    <x v="69"/>
    <x v="185"/>
    <x v="65"/>
    <x v="11"/>
    <x v="0"/>
  </r>
  <r>
    <x v="0"/>
    <x v="43"/>
    <x v="43"/>
    <x v="75"/>
    <x v="75"/>
    <x v="75"/>
    <x v="2"/>
    <x v="209"/>
    <x v="208"/>
    <x v="54"/>
    <x v="441"/>
    <x v="67"/>
    <x v="323"/>
    <x v="0"/>
  </r>
  <r>
    <x v="0"/>
    <x v="43"/>
    <x v="43"/>
    <x v="49"/>
    <x v="49"/>
    <x v="49"/>
    <x v="3"/>
    <x v="226"/>
    <x v="219"/>
    <x v="62"/>
    <x v="189"/>
    <x v="65"/>
    <x v="11"/>
    <x v="0"/>
  </r>
  <r>
    <x v="0"/>
    <x v="43"/>
    <x v="43"/>
    <x v="17"/>
    <x v="17"/>
    <x v="17"/>
    <x v="4"/>
    <x v="227"/>
    <x v="247"/>
    <x v="54"/>
    <x v="441"/>
    <x v="65"/>
    <x v="11"/>
    <x v="0"/>
  </r>
  <r>
    <x v="0"/>
    <x v="43"/>
    <x v="43"/>
    <x v="59"/>
    <x v="59"/>
    <x v="59"/>
    <x v="4"/>
    <x v="227"/>
    <x v="247"/>
    <x v="47"/>
    <x v="342"/>
    <x v="67"/>
    <x v="323"/>
    <x v="0"/>
  </r>
  <r>
    <x v="0"/>
    <x v="43"/>
    <x v="43"/>
    <x v="11"/>
    <x v="11"/>
    <x v="11"/>
    <x v="4"/>
    <x v="227"/>
    <x v="247"/>
    <x v="54"/>
    <x v="441"/>
    <x v="65"/>
    <x v="11"/>
    <x v="0"/>
  </r>
  <r>
    <x v="0"/>
    <x v="43"/>
    <x v="43"/>
    <x v="6"/>
    <x v="6"/>
    <x v="6"/>
    <x v="4"/>
    <x v="227"/>
    <x v="247"/>
    <x v="62"/>
    <x v="189"/>
    <x v="84"/>
    <x v="91"/>
    <x v="0"/>
  </r>
  <r>
    <x v="0"/>
    <x v="43"/>
    <x v="43"/>
    <x v="68"/>
    <x v="68"/>
    <x v="68"/>
    <x v="8"/>
    <x v="228"/>
    <x v="178"/>
    <x v="97"/>
    <x v="157"/>
    <x v="65"/>
    <x v="11"/>
    <x v="0"/>
  </r>
  <r>
    <x v="0"/>
    <x v="43"/>
    <x v="43"/>
    <x v="18"/>
    <x v="18"/>
    <x v="18"/>
    <x v="8"/>
    <x v="228"/>
    <x v="178"/>
    <x v="54"/>
    <x v="441"/>
    <x v="84"/>
    <x v="91"/>
    <x v="0"/>
  </r>
  <r>
    <x v="0"/>
    <x v="43"/>
    <x v="43"/>
    <x v="42"/>
    <x v="42"/>
    <x v="42"/>
    <x v="8"/>
    <x v="228"/>
    <x v="178"/>
    <x v="54"/>
    <x v="441"/>
    <x v="84"/>
    <x v="91"/>
    <x v="0"/>
  </r>
  <r>
    <x v="0"/>
    <x v="43"/>
    <x v="43"/>
    <x v="28"/>
    <x v="28"/>
    <x v="28"/>
    <x v="11"/>
    <x v="229"/>
    <x v="195"/>
    <x v="97"/>
    <x v="157"/>
    <x v="84"/>
    <x v="91"/>
    <x v="0"/>
  </r>
  <r>
    <x v="0"/>
    <x v="43"/>
    <x v="43"/>
    <x v="19"/>
    <x v="19"/>
    <x v="19"/>
    <x v="11"/>
    <x v="229"/>
    <x v="195"/>
    <x v="53"/>
    <x v="230"/>
    <x v="83"/>
    <x v="80"/>
    <x v="0"/>
  </r>
  <r>
    <x v="0"/>
    <x v="43"/>
    <x v="43"/>
    <x v="50"/>
    <x v="50"/>
    <x v="50"/>
    <x v="11"/>
    <x v="229"/>
    <x v="195"/>
    <x v="51"/>
    <x v="323"/>
    <x v="67"/>
    <x v="323"/>
    <x v="0"/>
  </r>
  <r>
    <x v="0"/>
    <x v="43"/>
    <x v="43"/>
    <x v="2"/>
    <x v="2"/>
    <x v="2"/>
    <x v="11"/>
    <x v="229"/>
    <x v="195"/>
    <x v="97"/>
    <x v="157"/>
    <x v="84"/>
    <x v="91"/>
    <x v="0"/>
  </r>
  <r>
    <x v="0"/>
    <x v="43"/>
    <x v="43"/>
    <x v="5"/>
    <x v="5"/>
    <x v="5"/>
    <x v="11"/>
    <x v="229"/>
    <x v="195"/>
    <x v="97"/>
    <x v="157"/>
    <x v="84"/>
    <x v="91"/>
    <x v="0"/>
  </r>
  <r>
    <x v="0"/>
    <x v="43"/>
    <x v="43"/>
    <x v="43"/>
    <x v="43"/>
    <x v="43"/>
    <x v="16"/>
    <x v="230"/>
    <x v="128"/>
    <x v="51"/>
    <x v="323"/>
    <x v="83"/>
    <x v="80"/>
    <x v="0"/>
  </r>
  <r>
    <x v="0"/>
    <x v="43"/>
    <x v="43"/>
    <x v="74"/>
    <x v="74"/>
    <x v="74"/>
    <x v="16"/>
    <x v="230"/>
    <x v="128"/>
    <x v="47"/>
    <x v="342"/>
    <x v="84"/>
    <x v="91"/>
    <x v="0"/>
  </r>
  <r>
    <x v="0"/>
    <x v="43"/>
    <x v="43"/>
    <x v="85"/>
    <x v="85"/>
    <x v="85"/>
    <x v="18"/>
    <x v="231"/>
    <x v="53"/>
    <x v="168"/>
    <x v="54"/>
    <x v="67"/>
    <x v="323"/>
    <x v="0"/>
  </r>
  <r>
    <x v="0"/>
    <x v="43"/>
    <x v="43"/>
    <x v="8"/>
    <x v="8"/>
    <x v="8"/>
    <x v="18"/>
    <x v="231"/>
    <x v="53"/>
    <x v="53"/>
    <x v="230"/>
    <x v="84"/>
    <x v="91"/>
    <x v="0"/>
  </r>
  <r>
    <x v="0"/>
    <x v="43"/>
    <x v="43"/>
    <x v="20"/>
    <x v="20"/>
    <x v="20"/>
    <x v="18"/>
    <x v="231"/>
    <x v="53"/>
    <x v="50"/>
    <x v="442"/>
    <x v="83"/>
    <x v="80"/>
    <x v="0"/>
  </r>
  <r>
    <x v="0"/>
    <x v="44"/>
    <x v="44"/>
    <x v="0"/>
    <x v="0"/>
    <x v="0"/>
    <x v="0"/>
    <x v="100"/>
    <x v="101"/>
    <x v="34"/>
    <x v="443"/>
    <x v="65"/>
    <x v="76"/>
    <x v="0"/>
  </r>
  <r>
    <x v="0"/>
    <x v="44"/>
    <x v="44"/>
    <x v="10"/>
    <x v="10"/>
    <x v="10"/>
    <x v="1"/>
    <x v="199"/>
    <x v="299"/>
    <x v="54"/>
    <x v="388"/>
    <x v="58"/>
    <x v="352"/>
    <x v="0"/>
  </r>
  <r>
    <x v="0"/>
    <x v="44"/>
    <x v="44"/>
    <x v="4"/>
    <x v="4"/>
    <x v="4"/>
    <x v="2"/>
    <x v="204"/>
    <x v="159"/>
    <x v="99"/>
    <x v="407"/>
    <x v="67"/>
    <x v="8"/>
    <x v="0"/>
  </r>
  <r>
    <x v="0"/>
    <x v="44"/>
    <x v="44"/>
    <x v="6"/>
    <x v="6"/>
    <x v="6"/>
    <x v="3"/>
    <x v="206"/>
    <x v="161"/>
    <x v="52"/>
    <x v="444"/>
    <x v="84"/>
    <x v="91"/>
    <x v="0"/>
  </r>
  <r>
    <x v="0"/>
    <x v="44"/>
    <x v="44"/>
    <x v="11"/>
    <x v="11"/>
    <x v="11"/>
    <x v="4"/>
    <x v="225"/>
    <x v="176"/>
    <x v="98"/>
    <x v="314"/>
    <x v="83"/>
    <x v="37"/>
    <x v="0"/>
  </r>
  <r>
    <x v="0"/>
    <x v="44"/>
    <x v="44"/>
    <x v="2"/>
    <x v="2"/>
    <x v="2"/>
    <x v="4"/>
    <x v="225"/>
    <x v="176"/>
    <x v="96"/>
    <x v="445"/>
    <x v="65"/>
    <x v="76"/>
    <x v="0"/>
  </r>
  <r>
    <x v="0"/>
    <x v="44"/>
    <x v="44"/>
    <x v="24"/>
    <x v="24"/>
    <x v="24"/>
    <x v="6"/>
    <x v="208"/>
    <x v="152"/>
    <x v="69"/>
    <x v="385"/>
    <x v="65"/>
    <x v="76"/>
    <x v="0"/>
  </r>
  <r>
    <x v="0"/>
    <x v="44"/>
    <x v="44"/>
    <x v="18"/>
    <x v="18"/>
    <x v="18"/>
    <x v="6"/>
    <x v="208"/>
    <x v="152"/>
    <x v="54"/>
    <x v="388"/>
    <x v="64"/>
    <x v="199"/>
    <x v="0"/>
  </r>
  <r>
    <x v="0"/>
    <x v="44"/>
    <x v="44"/>
    <x v="49"/>
    <x v="49"/>
    <x v="49"/>
    <x v="8"/>
    <x v="209"/>
    <x v="119"/>
    <x v="51"/>
    <x v="446"/>
    <x v="59"/>
    <x v="308"/>
    <x v="0"/>
  </r>
  <r>
    <x v="0"/>
    <x v="44"/>
    <x v="44"/>
    <x v="8"/>
    <x v="8"/>
    <x v="8"/>
    <x v="8"/>
    <x v="209"/>
    <x v="119"/>
    <x v="62"/>
    <x v="416"/>
    <x v="83"/>
    <x v="37"/>
    <x v="0"/>
  </r>
  <r>
    <x v="0"/>
    <x v="44"/>
    <x v="44"/>
    <x v="12"/>
    <x v="12"/>
    <x v="12"/>
    <x v="8"/>
    <x v="209"/>
    <x v="119"/>
    <x v="51"/>
    <x v="446"/>
    <x v="59"/>
    <x v="308"/>
    <x v="0"/>
  </r>
  <r>
    <x v="0"/>
    <x v="44"/>
    <x v="44"/>
    <x v="19"/>
    <x v="19"/>
    <x v="19"/>
    <x v="11"/>
    <x v="226"/>
    <x v="212"/>
    <x v="107"/>
    <x v="134"/>
    <x v="72"/>
    <x v="286"/>
    <x v="0"/>
  </r>
  <r>
    <x v="0"/>
    <x v="44"/>
    <x v="44"/>
    <x v="55"/>
    <x v="55"/>
    <x v="55"/>
    <x v="11"/>
    <x v="226"/>
    <x v="212"/>
    <x v="62"/>
    <x v="416"/>
    <x v="65"/>
    <x v="76"/>
    <x v="0"/>
  </r>
  <r>
    <x v="0"/>
    <x v="44"/>
    <x v="44"/>
    <x v="3"/>
    <x v="3"/>
    <x v="3"/>
    <x v="11"/>
    <x v="226"/>
    <x v="212"/>
    <x v="93"/>
    <x v="383"/>
    <x v="84"/>
    <x v="91"/>
    <x v="0"/>
  </r>
  <r>
    <x v="0"/>
    <x v="44"/>
    <x v="44"/>
    <x v="43"/>
    <x v="43"/>
    <x v="43"/>
    <x v="14"/>
    <x v="227"/>
    <x v="129"/>
    <x v="51"/>
    <x v="446"/>
    <x v="74"/>
    <x v="353"/>
    <x v="0"/>
  </r>
  <r>
    <x v="0"/>
    <x v="44"/>
    <x v="44"/>
    <x v="5"/>
    <x v="5"/>
    <x v="5"/>
    <x v="14"/>
    <x v="227"/>
    <x v="129"/>
    <x v="62"/>
    <x v="416"/>
    <x v="84"/>
    <x v="91"/>
    <x v="0"/>
  </r>
  <r>
    <x v="0"/>
    <x v="44"/>
    <x v="44"/>
    <x v="42"/>
    <x v="42"/>
    <x v="42"/>
    <x v="14"/>
    <x v="227"/>
    <x v="129"/>
    <x v="54"/>
    <x v="388"/>
    <x v="65"/>
    <x v="76"/>
    <x v="0"/>
  </r>
  <r>
    <x v="0"/>
    <x v="44"/>
    <x v="44"/>
    <x v="1"/>
    <x v="1"/>
    <x v="1"/>
    <x v="17"/>
    <x v="228"/>
    <x v="67"/>
    <x v="47"/>
    <x v="390"/>
    <x v="83"/>
    <x v="37"/>
    <x v="0"/>
  </r>
  <r>
    <x v="0"/>
    <x v="44"/>
    <x v="44"/>
    <x v="23"/>
    <x v="23"/>
    <x v="23"/>
    <x v="17"/>
    <x v="228"/>
    <x v="67"/>
    <x v="50"/>
    <x v="70"/>
    <x v="74"/>
    <x v="353"/>
    <x v="0"/>
  </r>
  <r>
    <x v="0"/>
    <x v="44"/>
    <x v="44"/>
    <x v="16"/>
    <x v="16"/>
    <x v="16"/>
    <x v="19"/>
    <x v="229"/>
    <x v="300"/>
    <x v="168"/>
    <x v="447"/>
    <x v="74"/>
    <x v="353"/>
    <x v="0"/>
  </r>
  <r>
    <x v="0"/>
    <x v="44"/>
    <x v="44"/>
    <x v="66"/>
    <x v="66"/>
    <x v="66"/>
    <x v="19"/>
    <x v="229"/>
    <x v="300"/>
    <x v="53"/>
    <x v="448"/>
    <x v="83"/>
    <x v="37"/>
    <x v="0"/>
  </r>
  <r>
    <x v="0"/>
    <x v="44"/>
    <x v="44"/>
    <x v="37"/>
    <x v="37"/>
    <x v="37"/>
    <x v="19"/>
    <x v="229"/>
    <x v="300"/>
    <x v="168"/>
    <x v="447"/>
    <x v="74"/>
    <x v="353"/>
    <x v="0"/>
  </r>
  <r>
    <x v="0"/>
    <x v="44"/>
    <x v="44"/>
    <x v="59"/>
    <x v="59"/>
    <x v="59"/>
    <x v="19"/>
    <x v="229"/>
    <x v="300"/>
    <x v="51"/>
    <x v="446"/>
    <x v="67"/>
    <x v="8"/>
    <x v="0"/>
  </r>
  <r>
    <x v="0"/>
    <x v="44"/>
    <x v="44"/>
    <x v="75"/>
    <x v="75"/>
    <x v="75"/>
    <x v="19"/>
    <x v="229"/>
    <x v="300"/>
    <x v="47"/>
    <x v="390"/>
    <x v="65"/>
    <x v="76"/>
    <x v="0"/>
  </r>
  <r>
    <x v="0"/>
    <x v="44"/>
    <x v="44"/>
    <x v="50"/>
    <x v="50"/>
    <x v="50"/>
    <x v="19"/>
    <x v="229"/>
    <x v="300"/>
    <x v="51"/>
    <x v="446"/>
    <x v="67"/>
    <x v="8"/>
    <x v="0"/>
  </r>
  <r>
    <x v="0"/>
    <x v="44"/>
    <x v="44"/>
    <x v="20"/>
    <x v="20"/>
    <x v="20"/>
    <x v="19"/>
    <x v="229"/>
    <x v="300"/>
    <x v="51"/>
    <x v="446"/>
    <x v="67"/>
    <x v="8"/>
    <x v="0"/>
  </r>
  <r>
    <x v="0"/>
    <x v="44"/>
    <x v="44"/>
    <x v="86"/>
    <x v="86"/>
    <x v="86"/>
    <x v="19"/>
    <x v="229"/>
    <x v="300"/>
    <x v="107"/>
    <x v="134"/>
    <x v="84"/>
    <x v="91"/>
    <x v="0"/>
  </r>
  <r>
    <x v="0"/>
    <x v="44"/>
    <x v="44"/>
    <x v="27"/>
    <x v="27"/>
    <x v="27"/>
    <x v="19"/>
    <x v="229"/>
    <x v="300"/>
    <x v="168"/>
    <x v="447"/>
    <x v="74"/>
    <x v="353"/>
    <x v="0"/>
  </r>
  <r>
    <x v="0"/>
    <x v="45"/>
    <x v="45"/>
    <x v="10"/>
    <x v="10"/>
    <x v="10"/>
    <x v="0"/>
    <x v="195"/>
    <x v="301"/>
    <x v="96"/>
    <x v="398"/>
    <x v="48"/>
    <x v="354"/>
    <x v="0"/>
  </r>
  <r>
    <x v="0"/>
    <x v="45"/>
    <x v="45"/>
    <x v="2"/>
    <x v="2"/>
    <x v="2"/>
    <x v="1"/>
    <x v="204"/>
    <x v="102"/>
    <x v="46"/>
    <x v="449"/>
    <x v="84"/>
    <x v="91"/>
    <x v="0"/>
  </r>
  <r>
    <x v="0"/>
    <x v="45"/>
    <x v="45"/>
    <x v="42"/>
    <x v="42"/>
    <x v="42"/>
    <x v="2"/>
    <x v="206"/>
    <x v="302"/>
    <x v="81"/>
    <x v="74"/>
    <x v="83"/>
    <x v="336"/>
    <x v="0"/>
  </r>
  <r>
    <x v="0"/>
    <x v="45"/>
    <x v="45"/>
    <x v="3"/>
    <x v="3"/>
    <x v="3"/>
    <x v="3"/>
    <x v="224"/>
    <x v="303"/>
    <x v="81"/>
    <x v="74"/>
    <x v="65"/>
    <x v="100"/>
    <x v="0"/>
  </r>
  <r>
    <x v="0"/>
    <x v="45"/>
    <x v="45"/>
    <x v="0"/>
    <x v="0"/>
    <x v="0"/>
    <x v="4"/>
    <x v="225"/>
    <x v="113"/>
    <x v="81"/>
    <x v="74"/>
    <x v="84"/>
    <x v="91"/>
    <x v="0"/>
  </r>
  <r>
    <x v="0"/>
    <x v="45"/>
    <x v="45"/>
    <x v="6"/>
    <x v="6"/>
    <x v="6"/>
    <x v="5"/>
    <x v="208"/>
    <x v="169"/>
    <x v="98"/>
    <x v="450"/>
    <x v="84"/>
    <x v="91"/>
    <x v="0"/>
  </r>
  <r>
    <x v="0"/>
    <x v="45"/>
    <x v="45"/>
    <x v="4"/>
    <x v="4"/>
    <x v="4"/>
    <x v="5"/>
    <x v="208"/>
    <x v="169"/>
    <x v="98"/>
    <x v="450"/>
    <x v="84"/>
    <x v="91"/>
    <x v="0"/>
  </r>
  <r>
    <x v="0"/>
    <x v="45"/>
    <x v="45"/>
    <x v="68"/>
    <x v="68"/>
    <x v="68"/>
    <x v="7"/>
    <x v="226"/>
    <x v="171"/>
    <x v="62"/>
    <x v="149"/>
    <x v="65"/>
    <x v="100"/>
    <x v="0"/>
  </r>
  <r>
    <x v="0"/>
    <x v="45"/>
    <x v="45"/>
    <x v="37"/>
    <x v="37"/>
    <x v="37"/>
    <x v="7"/>
    <x v="226"/>
    <x v="171"/>
    <x v="47"/>
    <x v="389"/>
    <x v="64"/>
    <x v="355"/>
    <x v="0"/>
  </r>
  <r>
    <x v="0"/>
    <x v="45"/>
    <x v="45"/>
    <x v="15"/>
    <x v="15"/>
    <x v="15"/>
    <x v="7"/>
    <x v="226"/>
    <x v="171"/>
    <x v="62"/>
    <x v="149"/>
    <x v="65"/>
    <x v="100"/>
    <x v="0"/>
  </r>
  <r>
    <x v="0"/>
    <x v="45"/>
    <x v="45"/>
    <x v="8"/>
    <x v="8"/>
    <x v="8"/>
    <x v="7"/>
    <x v="226"/>
    <x v="171"/>
    <x v="62"/>
    <x v="149"/>
    <x v="65"/>
    <x v="100"/>
    <x v="0"/>
  </r>
  <r>
    <x v="0"/>
    <x v="45"/>
    <x v="45"/>
    <x v="16"/>
    <x v="16"/>
    <x v="16"/>
    <x v="11"/>
    <x v="227"/>
    <x v="224"/>
    <x v="53"/>
    <x v="451"/>
    <x v="64"/>
    <x v="355"/>
    <x v="0"/>
  </r>
  <r>
    <x v="0"/>
    <x v="45"/>
    <x v="45"/>
    <x v="28"/>
    <x v="28"/>
    <x v="28"/>
    <x v="11"/>
    <x v="227"/>
    <x v="224"/>
    <x v="97"/>
    <x v="287"/>
    <x v="83"/>
    <x v="336"/>
    <x v="0"/>
  </r>
  <r>
    <x v="0"/>
    <x v="45"/>
    <x v="45"/>
    <x v="11"/>
    <x v="11"/>
    <x v="11"/>
    <x v="11"/>
    <x v="227"/>
    <x v="224"/>
    <x v="97"/>
    <x v="287"/>
    <x v="83"/>
    <x v="336"/>
    <x v="0"/>
  </r>
  <r>
    <x v="0"/>
    <x v="45"/>
    <x v="45"/>
    <x v="20"/>
    <x v="20"/>
    <x v="20"/>
    <x v="14"/>
    <x v="229"/>
    <x v="48"/>
    <x v="51"/>
    <x v="334"/>
    <x v="67"/>
    <x v="299"/>
    <x v="0"/>
  </r>
  <r>
    <x v="0"/>
    <x v="45"/>
    <x v="45"/>
    <x v="87"/>
    <x v="87"/>
    <x v="87"/>
    <x v="14"/>
    <x v="229"/>
    <x v="48"/>
    <x v="47"/>
    <x v="389"/>
    <x v="84"/>
    <x v="91"/>
    <x v="7"/>
  </r>
  <r>
    <x v="0"/>
    <x v="45"/>
    <x v="45"/>
    <x v="49"/>
    <x v="49"/>
    <x v="49"/>
    <x v="16"/>
    <x v="230"/>
    <x v="183"/>
    <x v="50"/>
    <x v="414"/>
    <x v="67"/>
    <x v="299"/>
    <x v="0"/>
  </r>
  <r>
    <x v="0"/>
    <x v="45"/>
    <x v="45"/>
    <x v="65"/>
    <x v="65"/>
    <x v="65"/>
    <x v="16"/>
    <x v="230"/>
    <x v="183"/>
    <x v="47"/>
    <x v="389"/>
    <x v="84"/>
    <x v="91"/>
    <x v="0"/>
  </r>
  <r>
    <x v="0"/>
    <x v="45"/>
    <x v="45"/>
    <x v="66"/>
    <x v="66"/>
    <x v="66"/>
    <x v="16"/>
    <x v="230"/>
    <x v="183"/>
    <x v="51"/>
    <x v="334"/>
    <x v="83"/>
    <x v="336"/>
    <x v="0"/>
  </r>
  <r>
    <x v="0"/>
    <x v="45"/>
    <x v="45"/>
    <x v="85"/>
    <x v="85"/>
    <x v="85"/>
    <x v="16"/>
    <x v="230"/>
    <x v="183"/>
    <x v="51"/>
    <x v="334"/>
    <x v="83"/>
    <x v="336"/>
    <x v="0"/>
  </r>
  <r>
    <x v="0"/>
    <x v="45"/>
    <x v="45"/>
    <x v="54"/>
    <x v="54"/>
    <x v="54"/>
    <x v="16"/>
    <x v="230"/>
    <x v="183"/>
    <x v="50"/>
    <x v="414"/>
    <x v="67"/>
    <x v="299"/>
    <x v="0"/>
  </r>
  <r>
    <x v="0"/>
    <x v="45"/>
    <x v="45"/>
    <x v="23"/>
    <x v="23"/>
    <x v="23"/>
    <x v="16"/>
    <x v="230"/>
    <x v="183"/>
    <x v="51"/>
    <x v="334"/>
    <x v="83"/>
    <x v="336"/>
    <x v="0"/>
  </r>
  <r>
    <x v="0"/>
    <x v="46"/>
    <x v="46"/>
    <x v="0"/>
    <x v="0"/>
    <x v="0"/>
    <x v="0"/>
    <x v="91"/>
    <x v="304"/>
    <x v="87"/>
    <x v="452"/>
    <x v="67"/>
    <x v="87"/>
    <x v="0"/>
  </r>
  <r>
    <x v="0"/>
    <x v="46"/>
    <x v="46"/>
    <x v="4"/>
    <x v="4"/>
    <x v="4"/>
    <x v="1"/>
    <x v="68"/>
    <x v="305"/>
    <x v="116"/>
    <x v="453"/>
    <x v="83"/>
    <x v="331"/>
    <x v="0"/>
  </r>
  <r>
    <x v="0"/>
    <x v="46"/>
    <x v="46"/>
    <x v="1"/>
    <x v="1"/>
    <x v="1"/>
    <x v="2"/>
    <x v="93"/>
    <x v="191"/>
    <x v="106"/>
    <x v="454"/>
    <x v="48"/>
    <x v="356"/>
    <x v="0"/>
  </r>
  <r>
    <x v="0"/>
    <x v="46"/>
    <x v="46"/>
    <x v="2"/>
    <x v="2"/>
    <x v="2"/>
    <x v="3"/>
    <x v="194"/>
    <x v="306"/>
    <x v="106"/>
    <x v="454"/>
    <x v="65"/>
    <x v="279"/>
    <x v="0"/>
  </r>
  <r>
    <x v="0"/>
    <x v="46"/>
    <x v="46"/>
    <x v="10"/>
    <x v="10"/>
    <x v="10"/>
    <x v="4"/>
    <x v="195"/>
    <x v="58"/>
    <x v="54"/>
    <x v="455"/>
    <x v="95"/>
    <x v="357"/>
    <x v="0"/>
  </r>
  <r>
    <x v="0"/>
    <x v="46"/>
    <x v="46"/>
    <x v="37"/>
    <x v="37"/>
    <x v="37"/>
    <x v="5"/>
    <x v="199"/>
    <x v="307"/>
    <x v="98"/>
    <x v="273"/>
    <x v="77"/>
    <x v="358"/>
    <x v="0"/>
  </r>
  <r>
    <x v="0"/>
    <x v="46"/>
    <x v="46"/>
    <x v="11"/>
    <x v="11"/>
    <x v="11"/>
    <x v="6"/>
    <x v="202"/>
    <x v="116"/>
    <x v="52"/>
    <x v="80"/>
    <x v="64"/>
    <x v="163"/>
    <x v="0"/>
  </r>
  <r>
    <x v="0"/>
    <x v="46"/>
    <x v="46"/>
    <x v="17"/>
    <x v="17"/>
    <x v="17"/>
    <x v="7"/>
    <x v="203"/>
    <x v="308"/>
    <x v="54"/>
    <x v="455"/>
    <x v="87"/>
    <x v="359"/>
    <x v="0"/>
  </r>
  <r>
    <x v="0"/>
    <x v="46"/>
    <x v="46"/>
    <x v="6"/>
    <x v="6"/>
    <x v="6"/>
    <x v="7"/>
    <x v="203"/>
    <x v="308"/>
    <x v="46"/>
    <x v="406"/>
    <x v="65"/>
    <x v="279"/>
    <x v="0"/>
  </r>
  <r>
    <x v="0"/>
    <x v="46"/>
    <x v="46"/>
    <x v="5"/>
    <x v="5"/>
    <x v="5"/>
    <x v="7"/>
    <x v="203"/>
    <x v="308"/>
    <x v="52"/>
    <x v="80"/>
    <x v="67"/>
    <x v="87"/>
    <x v="0"/>
  </r>
  <r>
    <x v="0"/>
    <x v="46"/>
    <x v="46"/>
    <x v="18"/>
    <x v="18"/>
    <x v="18"/>
    <x v="10"/>
    <x v="206"/>
    <x v="107"/>
    <x v="96"/>
    <x v="456"/>
    <x v="67"/>
    <x v="87"/>
    <x v="0"/>
  </r>
  <r>
    <x v="0"/>
    <x v="46"/>
    <x v="46"/>
    <x v="8"/>
    <x v="8"/>
    <x v="8"/>
    <x v="11"/>
    <x v="225"/>
    <x v="154"/>
    <x v="69"/>
    <x v="348"/>
    <x v="67"/>
    <x v="87"/>
    <x v="0"/>
  </r>
  <r>
    <x v="0"/>
    <x v="46"/>
    <x v="46"/>
    <x v="16"/>
    <x v="16"/>
    <x v="16"/>
    <x v="12"/>
    <x v="207"/>
    <x v="89"/>
    <x v="51"/>
    <x v="201"/>
    <x v="72"/>
    <x v="360"/>
    <x v="0"/>
  </r>
  <r>
    <x v="0"/>
    <x v="46"/>
    <x v="46"/>
    <x v="49"/>
    <x v="49"/>
    <x v="49"/>
    <x v="12"/>
    <x v="207"/>
    <x v="89"/>
    <x v="53"/>
    <x v="138"/>
    <x v="76"/>
    <x v="361"/>
    <x v="0"/>
  </r>
  <r>
    <x v="0"/>
    <x v="46"/>
    <x v="46"/>
    <x v="3"/>
    <x v="3"/>
    <x v="3"/>
    <x v="12"/>
    <x v="207"/>
    <x v="89"/>
    <x v="93"/>
    <x v="325"/>
    <x v="67"/>
    <x v="87"/>
    <x v="0"/>
  </r>
  <r>
    <x v="0"/>
    <x v="46"/>
    <x v="46"/>
    <x v="66"/>
    <x v="66"/>
    <x v="66"/>
    <x v="15"/>
    <x v="208"/>
    <x v="231"/>
    <x v="47"/>
    <x v="47"/>
    <x v="61"/>
    <x v="66"/>
    <x v="0"/>
  </r>
  <r>
    <x v="0"/>
    <x v="46"/>
    <x v="46"/>
    <x v="12"/>
    <x v="12"/>
    <x v="12"/>
    <x v="16"/>
    <x v="209"/>
    <x v="34"/>
    <x v="53"/>
    <x v="138"/>
    <x v="61"/>
    <x v="66"/>
    <x v="0"/>
  </r>
  <r>
    <x v="0"/>
    <x v="46"/>
    <x v="46"/>
    <x v="42"/>
    <x v="42"/>
    <x v="42"/>
    <x v="16"/>
    <x v="209"/>
    <x v="34"/>
    <x v="54"/>
    <x v="455"/>
    <x v="67"/>
    <x v="87"/>
    <x v="0"/>
  </r>
  <r>
    <x v="0"/>
    <x v="46"/>
    <x v="46"/>
    <x v="14"/>
    <x v="14"/>
    <x v="14"/>
    <x v="18"/>
    <x v="226"/>
    <x v="156"/>
    <x v="168"/>
    <x v="457"/>
    <x v="76"/>
    <x v="361"/>
    <x v="0"/>
  </r>
  <r>
    <x v="0"/>
    <x v="46"/>
    <x v="46"/>
    <x v="7"/>
    <x v="7"/>
    <x v="7"/>
    <x v="18"/>
    <x v="226"/>
    <x v="156"/>
    <x v="62"/>
    <x v="458"/>
    <x v="65"/>
    <x v="279"/>
    <x v="0"/>
  </r>
  <r>
    <x v="0"/>
    <x v="46"/>
    <x v="46"/>
    <x v="9"/>
    <x v="9"/>
    <x v="9"/>
    <x v="18"/>
    <x v="226"/>
    <x v="156"/>
    <x v="93"/>
    <x v="325"/>
    <x v="84"/>
    <x v="91"/>
    <x v="0"/>
  </r>
  <r>
    <x v="0"/>
    <x v="47"/>
    <x v="47"/>
    <x v="0"/>
    <x v="0"/>
    <x v="0"/>
    <x v="0"/>
    <x v="205"/>
    <x v="309"/>
    <x v="52"/>
    <x v="22"/>
    <x v="65"/>
    <x v="282"/>
    <x v="0"/>
  </r>
  <r>
    <x v="0"/>
    <x v="47"/>
    <x v="47"/>
    <x v="10"/>
    <x v="10"/>
    <x v="10"/>
    <x v="1"/>
    <x v="225"/>
    <x v="310"/>
    <x v="51"/>
    <x v="234"/>
    <x v="77"/>
    <x v="362"/>
    <x v="0"/>
  </r>
  <r>
    <x v="0"/>
    <x v="47"/>
    <x v="47"/>
    <x v="24"/>
    <x v="24"/>
    <x v="24"/>
    <x v="1"/>
    <x v="225"/>
    <x v="310"/>
    <x v="81"/>
    <x v="302"/>
    <x v="84"/>
    <x v="91"/>
    <x v="0"/>
  </r>
  <r>
    <x v="0"/>
    <x v="47"/>
    <x v="47"/>
    <x v="2"/>
    <x v="2"/>
    <x v="2"/>
    <x v="1"/>
    <x v="225"/>
    <x v="310"/>
    <x v="81"/>
    <x v="302"/>
    <x v="84"/>
    <x v="91"/>
    <x v="0"/>
  </r>
  <r>
    <x v="0"/>
    <x v="47"/>
    <x v="47"/>
    <x v="8"/>
    <x v="8"/>
    <x v="8"/>
    <x v="4"/>
    <x v="207"/>
    <x v="42"/>
    <x v="98"/>
    <x v="341"/>
    <x v="65"/>
    <x v="282"/>
    <x v="0"/>
  </r>
  <r>
    <x v="0"/>
    <x v="47"/>
    <x v="47"/>
    <x v="1"/>
    <x v="1"/>
    <x v="1"/>
    <x v="4"/>
    <x v="207"/>
    <x v="42"/>
    <x v="98"/>
    <x v="341"/>
    <x v="65"/>
    <x v="282"/>
    <x v="0"/>
  </r>
  <r>
    <x v="0"/>
    <x v="47"/>
    <x v="47"/>
    <x v="6"/>
    <x v="6"/>
    <x v="6"/>
    <x v="4"/>
    <x v="207"/>
    <x v="42"/>
    <x v="96"/>
    <x v="459"/>
    <x v="84"/>
    <x v="91"/>
    <x v="0"/>
  </r>
  <r>
    <x v="0"/>
    <x v="47"/>
    <x v="47"/>
    <x v="86"/>
    <x v="86"/>
    <x v="86"/>
    <x v="7"/>
    <x v="208"/>
    <x v="311"/>
    <x v="107"/>
    <x v="134"/>
    <x v="84"/>
    <x v="91"/>
    <x v="0"/>
  </r>
  <r>
    <x v="0"/>
    <x v="47"/>
    <x v="47"/>
    <x v="17"/>
    <x v="17"/>
    <x v="17"/>
    <x v="8"/>
    <x v="209"/>
    <x v="290"/>
    <x v="97"/>
    <x v="190"/>
    <x v="64"/>
    <x v="363"/>
    <x v="0"/>
  </r>
  <r>
    <x v="0"/>
    <x v="47"/>
    <x v="47"/>
    <x v="18"/>
    <x v="18"/>
    <x v="18"/>
    <x v="9"/>
    <x v="226"/>
    <x v="265"/>
    <x v="62"/>
    <x v="63"/>
    <x v="65"/>
    <x v="282"/>
    <x v="0"/>
  </r>
  <r>
    <x v="0"/>
    <x v="47"/>
    <x v="47"/>
    <x v="16"/>
    <x v="16"/>
    <x v="16"/>
    <x v="10"/>
    <x v="227"/>
    <x v="295"/>
    <x v="53"/>
    <x v="66"/>
    <x v="64"/>
    <x v="363"/>
    <x v="0"/>
  </r>
  <r>
    <x v="0"/>
    <x v="47"/>
    <x v="47"/>
    <x v="5"/>
    <x v="5"/>
    <x v="5"/>
    <x v="10"/>
    <x v="227"/>
    <x v="295"/>
    <x v="62"/>
    <x v="63"/>
    <x v="84"/>
    <x v="91"/>
    <x v="0"/>
  </r>
  <r>
    <x v="0"/>
    <x v="47"/>
    <x v="47"/>
    <x v="49"/>
    <x v="49"/>
    <x v="49"/>
    <x v="12"/>
    <x v="228"/>
    <x v="230"/>
    <x v="54"/>
    <x v="69"/>
    <x v="84"/>
    <x v="91"/>
    <x v="0"/>
  </r>
  <r>
    <x v="0"/>
    <x v="47"/>
    <x v="47"/>
    <x v="37"/>
    <x v="37"/>
    <x v="37"/>
    <x v="12"/>
    <x v="228"/>
    <x v="230"/>
    <x v="53"/>
    <x v="66"/>
    <x v="67"/>
    <x v="64"/>
    <x v="0"/>
  </r>
  <r>
    <x v="0"/>
    <x v="47"/>
    <x v="47"/>
    <x v="30"/>
    <x v="30"/>
    <x v="30"/>
    <x v="12"/>
    <x v="228"/>
    <x v="230"/>
    <x v="97"/>
    <x v="190"/>
    <x v="65"/>
    <x v="282"/>
    <x v="0"/>
  </r>
  <r>
    <x v="0"/>
    <x v="47"/>
    <x v="47"/>
    <x v="13"/>
    <x v="13"/>
    <x v="13"/>
    <x v="12"/>
    <x v="228"/>
    <x v="230"/>
    <x v="53"/>
    <x v="66"/>
    <x v="83"/>
    <x v="341"/>
    <x v="7"/>
  </r>
  <r>
    <x v="0"/>
    <x v="47"/>
    <x v="47"/>
    <x v="4"/>
    <x v="4"/>
    <x v="4"/>
    <x v="12"/>
    <x v="228"/>
    <x v="230"/>
    <x v="54"/>
    <x v="69"/>
    <x v="84"/>
    <x v="91"/>
    <x v="0"/>
  </r>
  <r>
    <x v="0"/>
    <x v="47"/>
    <x v="47"/>
    <x v="11"/>
    <x v="11"/>
    <x v="11"/>
    <x v="17"/>
    <x v="229"/>
    <x v="77"/>
    <x v="53"/>
    <x v="66"/>
    <x v="83"/>
    <x v="341"/>
    <x v="0"/>
  </r>
  <r>
    <x v="0"/>
    <x v="47"/>
    <x v="47"/>
    <x v="54"/>
    <x v="54"/>
    <x v="54"/>
    <x v="18"/>
    <x v="230"/>
    <x v="53"/>
    <x v="107"/>
    <x v="134"/>
    <x v="74"/>
    <x v="340"/>
    <x v="0"/>
  </r>
  <r>
    <x v="0"/>
    <x v="47"/>
    <x v="47"/>
    <x v="64"/>
    <x v="64"/>
    <x v="64"/>
    <x v="18"/>
    <x v="230"/>
    <x v="53"/>
    <x v="53"/>
    <x v="66"/>
    <x v="65"/>
    <x v="282"/>
    <x v="0"/>
  </r>
  <r>
    <x v="0"/>
    <x v="47"/>
    <x v="47"/>
    <x v="20"/>
    <x v="20"/>
    <x v="20"/>
    <x v="18"/>
    <x v="230"/>
    <x v="53"/>
    <x v="50"/>
    <x v="414"/>
    <x v="67"/>
    <x v="64"/>
    <x v="0"/>
  </r>
  <r>
    <x v="0"/>
    <x v="47"/>
    <x v="47"/>
    <x v="23"/>
    <x v="23"/>
    <x v="23"/>
    <x v="18"/>
    <x v="230"/>
    <x v="53"/>
    <x v="53"/>
    <x v="66"/>
    <x v="65"/>
    <x v="282"/>
    <x v="0"/>
  </r>
  <r>
    <x v="0"/>
    <x v="47"/>
    <x v="47"/>
    <x v="84"/>
    <x v="84"/>
    <x v="84"/>
    <x v="18"/>
    <x v="230"/>
    <x v="53"/>
    <x v="47"/>
    <x v="102"/>
    <x v="84"/>
    <x v="91"/>
    <x v="0"/>
  </r>
  <r>
    <x v="0"/>
    <x v="47"/>
    <x v="47"/>
    <x v="79"/>
    <x v="79"/>
    <x v="79"/>
    <x v="18"/>
    <x v="230"/>
    <x v="53"/>
    <x v="53"/>
    <x v="66"/>
    <x v="65"/>
    <x v="282"/>
    <x v="0"/>
  </r>
  <r>
    <x v="0"/>
    <x v="48"/>
    <x v="48"/>
    <x v="10"/>
    <x v="10"/>
    <x v="10"/>
    <x v="0"/>
    <x v="189"/>
    <x v="312"/>
    <x v="62"/>
    <x v="267"/>
    <x v="36"/>
    <x v="364"/>
    <x v="0"/>
  </r>
  <r>
    <x v="0"/>
    <x v="48"/>
    <x v="48"/>
    <x v="0"/>
    <x v="0"/>
    <x v="0"/>
    <x v="1"/>
    <x v="194"/>
    <x v="313"/>
    <x v="106"/>
    <x v="460"/>
    <x v="65"/>
    <x v="260"/>
    <x v="0"/>
  </r>
  <r>
    <x v="0"/>
    <x v="48"/>
    <x v="48"/>
    <x v="6"/>
    <x v="6"/>
    <x v="6"/>
    <x v="2"/>
    <x v="218"/>
    <x v="84"/>
    <x v="48"/>
    <x v="174"/>
    <x v="84"/>
    <x v="91"/>
    <x v="0"/>
  </r>
  <r>
    <x v="0"/>
    <x v="48"/>
    <x v="48"/>
    <x v="2"/>
    <x v="2"/>
    <x v="2"/>
    <x v="3"/>
    <x v="202"/>
    <x v="314"/>
    <x v="125"/>
    <x v="293"/>
    <x v="84"/>
    <x v="91"/>
    <x v="0"/>
  </r>
  <r>
    <x v="0"/>
    <x v="48"/>
    <x v="48"/>
    <x v="49"/>
    <x v="49"/>
    <x v="49"/>
    <x v="4"/>
    <x v="203"/>
    <x v="315"/>
    <x v="52"/>
    <x v="461"/>
    <x v="67"/>
    <x v="72"/>
    <x v="0"/>
  </r>
  <r>
    <x v="0"/>
    <x v="48"/>
    <x v="48"/>
    <x v="11"/>
    <x v="11"/>
    <x v="11"/>
    <x v="5"/>
    <x v="205"/>
    <x v="24"/>
    <x v="96"/>
    <x v="145"/>
    <x v="64"/>
    <x v="168"/>
    <x v="0"/>
  </r>
  <r>
    <x v="0"/>
    <x v="48"/>
    <x v="48"/>
    <x v="42"/>
    <x v="42"/>
    <x v="42"/>
    <x v="6"/>
    <x v="206"/>
    <x v="98"/>
    <x v="81"/>
    <x v="235"/>
    <x v="83"/>
    <x v="120"/>
    <x v="0"/>
  </r>
  <r>
    <x v="0"/>
    <x v="48"/>
    <x v="48"/>
    <x v="17"/>
    <x v="17"/>
    <x v="17"/>
    <x v="7"/>
    <x v="224"/>
    <x v="5"/>
    <x v="98"/>
    <x v="183"/>
    <x v="67"/>
    <x v="72"/>
    <x v="0"/>
  </r>
  <r>
    <x v="0"/>
    <x v="48"/>
    <x v="48"/>
    <x v="20"/>
    <x v="20"/>
    <x v="20"/>
    <x v="8"/>
    <x v="208"/>
    <x v="30"/>
    <x v="47"/>
    <x v="322"/>
    <x v="61"/>
    <x v="147"/>
    <x v="0"/>
  </r>
  <r>
    <x v="0"/>
    <x v="48"/>
    <x v="48"/>
    <x v="16"/>
    <x v="16"/>
    <x v="16"/>
    <x v="9"/>
    <x v="209"/>
    <x v="154"/>
    <x v="47"/>
    <x v="322"/>
    <x v="74"/>
    <x v="12"/>
    <x v="0"/>
  </r>
  <r>
    <x v="0"/>
    <x v="48"/>
    <x v="48"/>
    <x v="71"/>
    <x v="71"/>
    <x v="71"/>
    <x v="9"/>
    <x v="209"/>
    <x v="154"/>
    <x v="47"/>
    <x v="322"/>
    <x v="74"/>
    <x v="12"/>
    <x v="0"/>
  </r>
  <r>
    <x v="0"/>
    <x v="48"/>
    <x v="48"/>
    <x v="30"/>
    <x v="30"/>
    <x v="30"/>
    <x v="9"/>
    <x v="209"/>
    <x v="154"/>
    <x v="62"/>
    <x v="267"/>
    <x v="83"/>
    <x v="120"/>
    <x v="0"/>
  </r>
  <r>
    <x v="0"/>
    <x v="48"/>
    <x v="48"/>
    <x v="13"/>
    <x v="13"/>
    <x v="13"/>
    <x v="9"/>
    <x v="209"/>
    <x v="154"/>
    <x v="93"/>
    <x v="168"/>
    <x v="65"/>
    <x v="260"/>
    <x v="0"/>
  </r>
  <r>
    <x v="0"/>
    <x v="48"/>
    <x v="48"/>
    <x v="3"/>
    <x v="3"/>
    <x v="3"/>
    <x v="9"/>
    <x v="209"/>
    <x v="154"/>
    <x v="69"/>
    <x v="101"/>
    <x v="84"/>
    <x v="91"/>
    <x v="0"/>
  </r>
  <r>
    <x v="0"/>
    <x v="48"/>
    <x v="48"/>
    <x v="37"/>
    <x v="37"/>
    <x v="37"/>
    <x v="14"/>
    <x v="226"/>
    <x v="129"/>
    <x v="97"/>
    <x v="455"/>
    <x v="67"/>
    <x v="72"/>
    <x v="0"/>
  </r>
  <r>
    <x v="0"/>
    <x v="48"/>
    <x v="48"/>
    <x v="28"/>
    <x v="28"/>
    <x v="28"/>
    <x v="14"/>
    <x v="226"/>
    <x v="129"/>
    <x v="93"/>
    <x v="168"/>
    <x v="84"/>
    <x v="91"/>
    <x v="0"/>
  </r>
  <r>
    <x v="0"/>
    <x v="48"/>
    <x v="48"/>
    <x v="19"/>
    <x v="19"/>
    <x v="19"/>
    <x v="16"/>
    <x v="227"/>
    <x v="148"/>
    <x v="47"/>
    <x v="322"/>
    <x v="67"/>
    <x v="72"/>
    <x v="0"/>
  </r>
  <r>
    <x v="0"/>
    <x v="48"/>
    <x v="48"/>
    <x v="8"/>
    <x v="8"/>
    <x v="8"/>
    <x v="16"/>
    <x v="227"/>
    <x v="148"/>
    <x v="47"/>
    <x v="322"/>
    <x v="67"/>
    <x v="72"/>
    <x v="0"/>
  </r>
  <r>
    <x v="0"/>
    <x v="48"/>
    <x v="48"/>
    <x v="1"/>
    <x v="1"/>
    <x v="1"/>
    <x v="16"/>
    <x v="227"/>
    <x v="148"/>
    <x v="51"/>
    <x v="462"/>
    <x v="74"/>
    <x v="12"/>
    <x v="0"/>
  </r>
  <r>
    <x v="0"/>
    <x v="48"/>
    <x v="48"/>
    <x v="74"/>
    <x v="74"/>
    <x v="74"/>
    <x v="16"/>
    <x v="227"/>
    <x v="148"/>
    <x v="62"/>
    <x v="267"/>
    <x v="84"/>
    <x v="91"/>
    <x v="0"/>
  </r>
  <r>
    <x v="0"/>
    <x v="48"/>
    <x v="48"/>
    <x v="4"/>
    <x v="4"/>
    <x v="4"/>
    <x v="16"/>
    <x v="227"/>
    <x v="148"/>
    <x v="97"/>
    <x v="455"/>
    <x v="83"/>
    <x v="120"/>
    <x v="0"/>
  </r>
  <r>
    <x v="0"/>
    <x v="49"/>
    <x v="49"/>
    <x v="47"/>
    <x v="47"/>
    <x v="47"/>
    <x v="0"/>
    <x v="217"/>
    <x v="316"/>
    <x v="187"/>
    <x v="463"/>
    <x v="72"/>
    <x v="365"/>
    <x v="0"/>
  </r>
  <r>
    <x v="0"/>
    <x v="49"/>
    <x v="49"/>
    <x v="72"/>
    <x v="72"/>
    <x v="72"/>
    <x v="1"/>
    <x v="69"/>
    <x v="317"/>
    <x v="81"/>
    <x v="374"/>
    <x v="89"/>
    <x v="366"/>
    <x v="0"/>
  </r>
  <r>
    <x v="0"/>
    <x v="49"/>
    <x v="49"/>
    <x v="0"/>
    <x v="0"/>
    <x v="0"/>
    <x v="2"/>
    <x v="194"/>
    <x v="83"/>
    <x v="55"/>
    <x v="24"/>
    <x v="84"/>
    <x v="91"/>
    <x v="0"/>
  </r>
  <r>
    <x v="0"/>
    <x v="49"/>
    <x v="49"/>
    <x v="49"/>
    <x v="49"/>
    <x v="49"/>
    <x v="3"/>
    <x v="195"/>
    <x v="252"/>
    <x v="108"/>
    <x v="464"/>
    <x v="83"/>
    <x v="179"/>
    <x v="0"/>
  </r>
  <r>
    <x v="0"/>
    <x v="49"/>
    <x v="49"/>
    <x v="6"/>
    <x v="6"/>
    <x v="6"/>
    <x v="4"/>
    <x v="218"/>
    <x v="115"/>
    <x v="48"/>
    <x v="347"/>
    <x v="84"/>
    <x v="91"/>
    <x v="0"/>
  </r>
  <r>
    <x v="0"/>
    <x v="49"/>
    <x v="49"/>
    <x v="88"/>
    <x v="88"/>
    <x v="88"/>
    <x v="5"/>
    <x v="205"/>
    <x v="126"/>
    <x v="69"/>
    <x v="409"/>
    <x v="61"/>
    <x v="108"/>
    <x v="0"/>
  </r>
  <r>
    <x v="0"/>
    <x v="49"/>
    <x v="49"/>
    <x v="13"/>
    <x v="13"/>
    <x v="13"/>
    <x v="5"/>
    <x v="205"/>
    <x v="126"/>
    <x v="96"/>
    <x v="465"/>
    <x v="64"/>
    <x v="194"/>
    <x v="0"/>
  </r>
  <r>
    <x v="0"/>
    <x v="49"/>
    <x v="49"/>
    <x v="17"/>
    <x v="17"/>
    <x v="17"/>
    <x v="7"/>
    <x v="206"/>
    <x v="99"/>
    <x v="99"/>
    <x v="296"/>
    <x v="65"/>
    <x v="77"/>
    <x v="0"/>
  </r>
  <r>
    <x v="0"/>
    <x v="49"/>
    <x v="49"/>
    <x v="11"/>
    <x v="11"/>
    <x v="11"/>
    <x v="7"/>
    <x v="206"/>
    <x v="99"/>
    <x v="62"/>
    <x v="403"/>
    <x v="59"/>
    <x v="367"/>
    <x v="0"/>
  </r>
  <r>
    <x v="0"/>
    <x v="49"/>
    <x v="49"/>
    <x v="8"/>
    <x v="8"/>
    <x v="8"/>
    <x v="7"/>
    <x v="206"/>
    <x v="99"/>
    <x v="96"/>
    <x v="465"/>
    <x v="67"/>
    <x v="82"/>
    <x v="0"/>
  </r>
  <r>
    <x v="0"/>
    <x v="49"/>
    <x v="49"/>
    <x v="16"/>
    <x v="16"/>
    <x v="16"/>
    <x v="10"/>
    <x v="224"/>
    <x v="235"/>
    <x v="62"/>
    <x v="403"/>
    <x v="61"/>
    <x v="108"/>
    <x v="0"/>
  </r>
  <r>
    <x v="0"/>
    <x v="49"/>
    <x v="49"/>
    <x v="86"/>
    <x v="86"/>
    <x v="86"/>
    <x v="10"/>
    <x v="224"/>
    <x v="235"/>
    <x v="107"/>
    <x v="134"/>
    <x v="84"/>
    <x v="91"/>
    <x v="7"/>
  </r>
  <r>
    <x v="0"/>
    <x v="49"/>
    <x v="49"/>
    <x v="30"/>
    <x v="30"/>
    <x v="30"/>
    <x v="12"/>
    <x v="225"/>
    <x v="212"/>
    <x v="81"/>
    <x v="374"/>
    <x v="84"/>
    <x v="91"/>
    <x v="0"/>
  </r>
  <r>
    <x v="0"/>
    <x v="49"/>
    <x v="49"/>
    <x v="4"/>
    <x v="4"/>
    <x v="4"/>
    <x v="12"/>
    <x v="225"/>
    <x v="212"/>
    <x v="81"/>
    <x v="374"/>
    <x v="84"/>
    <x v="91"/>
    <x v="0"/>
  </r>
  <r>
    <x v="0"/>
    <x v="49"/>
    <x v="49"/>
    <x v="78"/>
    <x v="78"/>
    <x v="78"/>
    <x v="12"/>
    <x v="225"/>
    <x v="212"/>
    <x v="107"/>
    <x v="134"/>
    <x v="84"/>
    <x v="91"/>
    <x v="0"/>
  </r>
  <r>
    <x v="0"/>
    <x v="49"/>
    <x v="49"/>
    <x v="50"/>
    <x v="50"/>
    <x v="50"/>
    <x v="15"/>
    <x v="207"/>
    <x v="49"/>
    <x v="47"/>
    <x v="466"/>
    <x v="59"/>
    <x v="367"/>
    <x v="0"/>
  </r>
  <r>
    <x v="0"/>
    <x v="49"/>
    <x v="49"/>
    <x v="20"/>
    <x v="20"/>
    <x v="20"/>
    <x v="15"/>
    <x v="207"/>
    <x v="49"/>
    <x v="98"/>
    <x v="413"/>
    <x v="84"/>
    <x v="91"/>
    <x v="0"/>
  </r>
  <r>
    <x v="0"/>
    <x v="49"/>
    <x v="49"/>
    <x v="10"/>
    <x v="10"/>
    <x v="10"/>
    <x v="17"/>
    <x v="208"/>
    <x v="155"/>
    <x v="53"/>
    <x v="288"/>
    <x v="59"/>
    <x v="367"/>
    <x v="0"/>
  </r>
  <r>
    <x v="0"/>
    <x v="49"/>
    <x v="49"/>
    <x v="74"/>
    <x v="74"/>
    <x v="74"/>
    <x v="17"/>
    <x v="208"/>
    <x v="155"/>
    <x v="69"/>
    <x v="409"/>
    <x v="65"/>
    <x v="77"/>
    <x v="0"/>
  </r>
  <r>
    <x v="0"/>
    <x v="49"/>
    <x v="49"/>
    <x v="7"/>
    <x v="7"/>
    <x v="7"/>
    <x v="17"/>
    <x v="208"/>
    <x v="155"/>
    <x v="98"/>
    <x v="413"/>
    <x v="84"/>
    <x v="91"/>
    <x v="0"/>
  </r>
  <r>
    <x v="0"/>
    <x v="49"/>
    <x v="49"/>
    <x v="18"/>
    <x v="18"/>
    <x v="18"/>
    <x v="17"/>
    <x v="208"/>
    <x v="155"/>
    <x v="69"/>
    <x v="409"/>
    <x v="65"/>
    <x v="77"/>
    <x v="0"/>
  </r>
  <r>
    <x v="0"/>
    <x v="49"/>
    <x v="49"/>
    <x v="5"/>
    <x v="5"/>
    <x v="5"/>
    <x v="17"/>
    <x v="208"/>
    <x v="155"/>
    <x v="98"/>
    <x v="413"/>
    <x v="84"/>
    <x v="91"/>
    <x v="0"/>
  </r>
  <r>
    <x v="0"/>
    <x v="50"/>
    <x v="50"/>
    <x v="10"/>
    <x v="10"/>
    <x v="10"/>
    <x v="0"/>
    <x v="194"/>
    <x v="318"/>
    <x v="51"/>
    <x v="467"/>
    <x v="55"/>
    <x v="368"/>
    <x v="0"/>
  </r>
  <r>
    <x v="0"/>
    <x v="50"/>
    <x v="50"/>
    <x v="6"/>
    <x v="6"/>
    <x v="6"/>
    <x v="1"/>
    <x v="199"/>
    <x v="319"/>
    <x v="109"/>
    <x v="468"/>
    <x v="84"/>
    <x v="91"/>
    <x v="0"/>
  </r>
  <r>
    <x v="0"/>
    <x v="50"/>
    <x v="50"/>
    <x v="47"/>
    <x v="47"/>
    <x v="47"/>
    <x v="2"/>
    <x v="202"/>
    <x v="267"/>
    <x v="52"/>
    <x v="469"/>
    <x v="64"/>
    <x v="369"/>
    <x v="0"/>
  </r>
  <r>
    <x v="0"/>
    <x v="50"/>
    <x v="50"/>
    <x v="0"/>
    <x v="0"/>
    <x v="0"/>
    <x v="3"/>
    <x v="203"/>
    <x v="320"/>
    <x v="100"/>
    <x v="470"/>
    <x v="84"/>
    <x v="91"/>
    <x v="0"/>
  </r>
  <r>
    <x v="0"/>
    <x v="50"/>
    <x v="50"/>
    <x v="11"/>
    <x v="11"/>
    <x v="11"/>
    <x v="4"/>
    <x v="208"/>
    <x v="124"/>
    <x v="62"/>
    <x v="471"/>
    <x v="67"/>
    <x v="80"/>
    <x v="0"/>
  </r>
  <r>
    <x v="0"/>
    <x v="50"/>
    <x v="50"/>
    <x v="2"/>
    <x v="2"/>
    <x v="2"/>
    <x v="4"/>
    <x v="208"/>
    <x v="124"/>
    <x v="98"/>
    <x v="472"/>
    <x v="84"/>
    <x v="91"/>
    <x v="0"/>
  </r>
  <r>
    <x v="0"/>
    <x v="50"/>
    <x v="50"/>
    <x v="50"/>
    <x v="50"/>
    <x v="50"/>
    <x v="6"/>
    <x v="209"/>
    <x v="63"/>
    <x v="50"/>
    <x v="232"/>
    <x v="76"/>
    <x v="370"/>
    <x v="0"/>
  </r>
  <r>
    <x v="0"/>
    <x v="50"/>
    <x v="50"/>
    <x v="3"/>
    <x v="3"/>
    <x v="3"/>
    <x v="6"/>
    <x v="209"/>
    <x v="63"/>
    <x v="69"/>
    <x v="352"/>
    <x v="84"/>
    <x v="91"/>
    <x v="0"/>
  </r>
  <r>
    <x v="0"/>
    <x v="50"/>
    <x v="50"/>
    <x v="49"/>
    <x v="49"/>
    <x v="49"/>
    <x v="8"/>
    <x v="226"/>
    <x v="152"/>
    <x v="47"/>
    <x v="458"/>
    <x v="64"/>
    <x v="369"/>
    <x v="0"/>
  </r>
  <r>
    <x v="0"/>
    <x v="50"/>
    <x v="50"/>
    <x v="28"/>
    <x v="28"/>
    <x v="28"/>
    <x v="8"/>
    <x v="226"/>
    <x v="152"/>
    <x v="54"/>
    <x v="98"/>
    <x v="83"/>
    <x v="72"/>
    <x v="0"/>
  </r>
  <r>
    <x v="0"/>
    <x v="50"/>
    <x v="50"/>
    <x v="5"/>
    <x v="5"/>
    <x v="5"/>
    <x v="8"/>
    <x v="226"/>
    <x v="152"/>
    <x v="54"/>
    <x v="98"/>
    <x v="83"/>
    <x v="72"/>
    <x v="0"/>
  </r>
  <r>
    <x v="0"/>
    <x v="50"/>
    <x v="50"/>
    <x v="8"/>
    <x v="8"/>
    <x v="8"/>
    <x v="11"/>
    <x v="227"/>
    <x v="30"/>
    <x v="54"/>
    <x v="98"/>
    <x v="65"/>
    <x v="79"/>
    <x v="0"/>
  </r>
  <r>
    <x v="0"/>
    <x v="50"/>
    <x v="50"/>
    <x v="16"/>
    <x v="16"/>
    <x v="16"/>
    <x v="12"/>
    <x v="228"/>
    <x v="248"/>
    <x v="51"/>
    <x v="467"/>
    <x v="64"/>
    <x v="369"/>
    <x v="0"/>
  </r>
  <r>
    <x v="0"/>
    <x v="50"/>
    <x v="50"/>
    <x v="17"/>
    <x v="17"/>
    <x v="17"/>
    <x v="12"/>
    <x v="228"/>
    <x v="248"/>
    <x v="47"/>
    <x v="458"/>
    <x v="83"/>
    <x v="72"/>
    <x v="0"/>
  </r>
  <r>
    <x v="0"/>
    <x v="50"/>
    <x v="50"/>
    <x v="13"/>
    <x v="13"/>
    <x v="13"/>
    <x v="12"/>
    <x v="228"/>
    <x v="248"/>
    <x v="47"/>
    <x v="458"/>
    <x v="83"/>
    <x v="72"/>
    <x v="0"/>
  </r>
  <r>
    <x v="0"/>
    <x v="50"/>
    <x v="50"/>
    <x v="1"/>
    <x v="1"/>
    <x v="1"/>
    <x v="12"/>
    <x v="228"/>
    <x v="248"/>
    <x v="47"/>
    <x v="458"/>
    <x v="83"/>
    <x v="72"/>
    <x v="0"/>
  </r>
  <r>
    <x v="0"/>
    <x v="50"/>
    <x v="50"/>
    <x v="7"/>
    <x v="7"/>
    <x v="7"/>
    <x v="12"/>
    <x v="228"/>
    <x v="248"/>
    <x v="54"/>
    <x v="98"/>
    <x v="84"/>
    <x v="91"/>
    <x v="0"/>
  </r>
  <r>
    <x v="0"/>
    <x v="50"/>
    <x v="50"/>
    <x v="42"/>
    <x v="42"/>
    <x v="42"/>
    <x v="12"/>
    <x v="228"/>
    <x v="248"/>
    <x v="54"/>
    <x v="98"/>
    <x v="84"/>
    <x v="91"/>
    <x v="0"/>
  </r>
  <r>
    <x v="0"/>
    <x v="50"/>
    <x v="50"/>
    <x v="68"/>
    <x v="68"/>
    <x v="68"/>
    <x v="18"/>
    <x v="229"/>
    <x v="52"/>
    <x v="53"/>
    <x v="357"/>
    <x v="83"/>
    <x v="72"/>
    <x v="0"/>
  </r>
  <r>
    <x v="0"/>
    <x v="50"/>
    <x v="50"/>
    <x v="72"/>
    <x v="72"/>
    <x v="72"/>
    <x v="18"/>
    <x v="229"/>
    <x v="52"/>
    <x v="53"/>
    <x v="357"/>
    <x v="83"/>
    <x v="72"/>
    <x v="0"/>
  </r>
  <r>
    <x v="0"/>
    <x v="50"/>
    <x v="50"/>
    <x v="89"/>
    <x v="89"/>
    <x v="89"/>
    <x v="18"/>
    <x v="229"/>
    <x v="52"/>
    <x v="51"/>
    <x v="467"/>
    <x v="67"/>
    <x v="80"/>
    <x v="0"/>
  </r>
  <r>
    <x v="0"/>
    <x v="50"/>
    <x v="50"/>
    <x v="19"/>
    <x v="19"/>
    <x v="19"/>
    <x v="18"/>
    <x v="229"/>
    <x v="52"/>
    <x v="97"/>
    <x v="67"/>
    <x v="84"/>
    <x v="91"/>
    <x v="0"/>
  </r>
  <r>
    <x v="0"/>
    <x v="50"/>
    <x v="50"/>
    <x v="9"/>
    <x v="9"/>
    <x v="9"/>
    <x v="18"/>
    <x v="229"/>
    <x v="52"/>
    <x v="97"/>
    <x v="67"/>
    <x v="84"/>
    <x v="9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39B800-E918-4EA3-AAE8-D96916BD6901}" name="pvt_L" cacheId="2209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817" firstHeaderRow="0" firstDataRow="1" firstDataCol="1"/>
  <pivotFields count="11">
    <pivotField showAll="0"/>
    <pivotField showAll="0"/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81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763">
      <pivotArea field="2" type="button" dataOnly="0" labelOnly="1" outline="0" axis="axisRow" fieldPosition="0"/>
    </format>
    <format dxfId="762">
      <pivotArea outline="0" fieldPosition="0">
        <references count="1">
          <reference field="4294967294" count="1">
            <x v="0"/>
          </reference>
        </references>
      </pivotArea>
    </format>
    <format dxfId="761">
      <pivotArea outline="0" fieldPosition="0">
        <references count="1">
          <reference field="4294967294" count="1">
            <x v="1"/>
          </reference>
        </references>
      </pivotArea>
    </format>
    <format dxfId="760">
      <pivotArea outline="0" fieldPosition="0">
        <references count="1">
          <reference field="4294967294" count="1">
            <x v="2"/>
          </reference>
        </references>
      </pivotArea>
    </format>
    <format dxfId="759">
      <pivotArea outline="0" fieldPosition="0">
        <references count="1">
          <reference field="4294967294" count="1">
            <x v="3"/>
          </reference>
        </references>
      </pivotArea>
    </format>
    <format dxfId="758">
      <pivotArea outline="0" fieldPosition="0">
        <references count="1">
          <reference field="4294967294" count="1">
            <x v="4"/>
          </reference>
        </references>
      </pivotArea>
    </format>
    <format dxfId="757">
      <pivotArea outline="0" fieldPosition="0">
        <references count="1">
          <reference field="4294967294" count="1">
            <x v="5"/>
          </reference>
        </references>
      </pivotArea>
    </format>
    <format dxfId="756">
      <pivotArea outline="0" fieldPosition="0">
        <references count="1">
          <reference field="4294967294" count="1">
            <x v="6"/>
          </reference>
        </references>
      </pivotArea>
    </format>
    <format dxfId="755">
      <pivotArea field="2" type="button" dataOnly="0" labelOnly="1" outline="0" axis="axisRow" fieldPosition="0"/>
    </format>
    <format dxfId="7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3">
      <pivotArea field="2" type="button" dataOnly="0" labelOnly="1" outline="0" axis="axisRow" fieldPosition="0"/>
    </format>
    <format dxfId="7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1">
      <pivotArea field="2" type="button" dataOnly="0" labelOnly="1" outline="0" axis="axisRow" fieldPosition="0"/>
    </format>
    <format dxfId="7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846AA-94E6-4CED-9531-3E2129AA7147}" name="pvt_M" cacheId="2210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154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51">
        <item x="38"/>
        <item x="16"/>
        <item x="17"/>
        <item x="41"/>
        <item x="42"/>
        <item x="20"/>
        <item x="29"/>
        <item x="37"/>
        <item x="25"/>
        <item x="48"/>
        <item x="28"/>
        <item x="24"/>
        <item x="36"/>
        <item x="15"/>
        <item x="27"/>
        <item x="1"/>
        <item x="6"/>
        <item x="7"/>
        <item x="10"/>
        <item x="9"/>
        <item x="5"/>
        <item x="2"/>
        <item x="3"/>
        <item x="4"/>
        <item x="8"/>
        <item x="43"/>
        <item x="45"/>
        <item x="44"/>
        <item x="14"/>
        <item x="22"/>
        <item x="47"/>
        <item x="21"/>
        <item x="26"/>
        <item x="39"/>
        <item x="18"/>
        <item x="40"/>
        <item x="32"/>
        <item x="30"/>
        <item x="35"/>
        <item x="34"/>
        <item x="33"/>
        <item x="12"/>
        <item x="49"/>
        <item x="50"/>
        <item x="11"/>
        <item x="0"/>
        <item x="23"/>
        <item x="19"/>
        <item x="13"/>
        <item x="46"/>
        <item x="31"/>
      </items>
    </pivotField>
    <pivotField axis="axisRow" showAll="0" insertBlankRow="1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46">
        <item x="4"/>
        <item x="9"/>
        <item x="10"/>
        <item x="35"/>
        <item x="36"/>
        <item x="38"/>
        <item x="43"/>
        <item x="23"/>
        <item x="41"/>
        <item x="24"/>
        <item x="25"/>
        <item x="42"/>
        <item x="45"/>
        <item x="17"/>
        <item x="39"/>
        <item x="26"/>
        <item x="40"/>
        <item x="37"/>
        <item x="34"/>
        <item x="29"/>
        <item x="21"/>
        <item x="22"/>
        <item x="19"/>
        <item x="16"/>
        <item x="11"/>
        <item x="5"/>
        <item x="12"/>
        <item x="3"/>
        <item x="27"/>
        <item x="28"/>
        <item x="14"/>
        <item x="2"/>
        <item x="7"/>
        <item x="13"/>
        <item x="31"/>
        <item x="0"/>
        <item x="33"/>
        <item x="1"/>
        <item x="18"/>
        <item x="32"/>
        <item x="6"/>
        <item x="8"/>
        <item x="15"/>
        <item x="44"/>
        <item x="30"/>
        <item x="20"/>
      </items>
    </pivotField>
    <pivotField showAll="0" defaultSubtotal="0">
      <items count="46">
        <item x="24"/>
        <item x="16"/>
        <item x="6"/>
        <item x="20"/>
        <item x="3"/>
        <item x="18"/>
        <item x="37"/>
        <item x="25"/>
        <item x="39"/>
        <item x="41"/>
        <item x="8"/>
        <item x="23"/>
        <item x="0"/>
        <item x="21"/>
        <item x="5"/>
        <item x="34"/>
        <item x="43"/>
        <item x="19"/>
        <item x="12"/>
        <item x="13"/>
        <item x="17"/>
        <item x="22"/>
        <item x="32"/>
        <item x="33"/>
        <item x="30"/>
        <item x="15"/>
        <item x="31"/>
        <item x="11"/>
        <item x="9"/>
        <item x="35"/>
        <item x="26"/>
        <item x="10"/>
        <item x="7"/>
        <item x="1"/>
        <item x="29"/>
        <item x="36"/>
        <item x="4"/>
        <item x="45"/>
        <item x="44"/>
        <item x="14"/>
        <item x="2"/>
        <item x="28"/>
        <item x="27"/>
        <item x="38"/>
        <item x="40"/>
        <item x="42"/>
      </items>
    </pivotField>
    <pivotField axis="axisRow" showAll="0" defaultSubtotal="0">
      <items count="46">
        <item x="4"/>
        <item x="9"/>
        <item x="10"/>
        <item x="35"/>
        <item x="36"/>
        <item x="38"/>
        <item x="43"/>
        <item x="23"/>
        <item x="41"/>
        <item x="24"/>
        <item x="25"/>
        <item x="42"/>
        <item x="45"/>
        <item x="17"/>
        <item x="39"/>
        <item x="26"/>
        <item x="40"/>
        <item x="37"/>
        <item x="34"/>
        <item x="29"/>
        <item x="21"/>
        <item x="22"/>
        <item x="19"/>
        <item x="16"/>
        <item x="11"/>
        <item x="5"/>
        <item x="12"/>
        <item x="3"/>
        <item x="27"/>
        <item x="28"/>
        <item x="14"/>
        <item x="2"/>
        <item x="7"/>
        <item x="13"/>
        <item x="31"/>
        <item x="0"/>
        <item x="33"/>
        <item x="1"/>
        <item x="18"/>
        <item x="32"/>
        <item x="6"/>
        <item x="8"/>
        <item x="15"/>
        <item x="44"/>
        <item x="30"/>
        <item x="20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07">
        <item x="305"/>
        <item x="304"/>
        <item x="303"/>
        <item x="302"/>
        <item x="260"/>
        <item x="259"/>
        <item x="258"/>
        <item x="257"/>
        <item x="256"/>
        <item x="255"/>
        <item x="295"/>
        <item x="254"/>
        <item x="294"/>
        <item x="293"/>
        <item x="234"/>
        <item x="242"/>
        <item x="278"/>
        <item x="233"/>
        <item x="232"/>
        <item x="231"/>
        <item x="241"/>
        <item x="230"/>
        <item x="126"/>
        <item x="116"/>
        <item x="115"/>
        <item x="287"/>
        <item x="114"/>
        <item x="125"/>
        <item x="124"/>
        <item x="142"/>
        <item x="113"/>
        <item x="229"/>
        <item x="240"/>
        <item x="253"/>
        <item x="74"/>
        <item x="141"/>
        <item x="228"/>
        <item x="252"/>
        <item x="73"/>
        <item x="267"/>
        <item x="140"/>
        <item x="72"/>
        <item x="251"/>
        <item x="112"/>
        <item x="277"/>
        <item x="71"/>
        <item x="90"/>
        <item x="280"/>
        <item x="227"/>
        <item x="58"/>
        <item x="139"/>
        <item x="286"/>
        <item x="103"/>
        <item x="89"/>
        <item x="57"/>
        <item x="70"/>
        <item x="276"/>
        <item x="56"/>
        <item x="138"/>
        <item x="69"/>
        <item x="167"/>
        <item x="137"/>
        <item x="102"/>
        <item x="101"/>
        <item x="88"/>
        <item x="87"/>
        <item x="55"/>
        <item x="123"/>
        <item x="111"/>
        <item x="86"/>
        <item x="54"/>
        <item x="53"/>
        <item x="122"/>
        <item x="166"/>
        <item x="85"/>
        <item x="68"/>
        <item x="284"/>
        <item x="67"/>
        <item x="100"/>
        <item x="136"/>
        <item x="99"/>
        <item x="135"/>
        <item x="98"/>
        <item x="165"/>
        <item x="110"/>
        <item x="134"/>
        <item x="208"/>
        <item x="222"/>
        <item x="306"/>
        <item x="109"/>
        <item x="84"/>
        <item x="52"/>
        <item x="51"/>
        <item x="289"/>
        <item x="50"/>
        <item x="275"/>
        <item x="83"/>
        <item x="66"/>
        <item x="82"/>
        <item x="250"/>
        <item x="298"/>
        <item x="81"/>
        <item x="97"/>
        <item x="133"/>
        <item x="65"/>
        <item x="108"/>
        <item x="299"/>
        <item x="292"/>
        <item x="226"/>
        <item x="49"/>
        <item x="132"/>
        <item x="107"/>
        <item x="239"/>
        <item x="279"/>
        <item x="200"/>
        <item x="64"/>
        <item x="80"/>
        <item x="199"/>
        <item x="164"/>
        <item x="266"/>
        <item x="225"/>
        <item x="291"/>
        <item x="48"/>
        <item x="163"/>
        <item x="249"/>
        <item x="121"/>
        <item x="224"/>
        <item x="238"/>
        <item x="159"/>
        <item x="63"/>
        <item x="162"/>
        <item x="265"/>
        <item x="158"/>
        <item x="157"/>
        <item x="131"/>
        <item x="248"/>
        <item x="96"/>
        <item x="285"/>
        <item x="301"/>
        <item x="274"/>
        <item x="297"/>
        <item x="221"/>
        <item x="185"/>
        <item x="120"/>
        <item x="223"/>
        <item x="47"/>
        <item x="95"/>
        <item x="247"/>
        <item x="184"/>
        <item x="207"/>
        <item x="46"/>
        <item x="237"/>
        <item x="264"/>
        <item x="130"/>
        <item x="236"/>
        <item x="183"/>
        <item x="62"/>
        <item x="220"/>
        <item x="182"/>
        <item x="246"/>
        <item x="206"/>
        <item x="219"/>
        <item x="198"/>
        <item x="45"/>
        <item x="156"/>
        <item x="106"/>
        <item x="94"/>
        <item x="273"/>
        <item x="296"/>
        <item x="155"/>
        <item x="44"/>
        <item x="197"/>
        <item x="43"/>
        <item x="161"/>
        <item x="154"/>
        <item x="153"/>
        <item x="290"/>
        <item x="105"/>
        <item x="263"/>
        <item x="205"/>
        <item x="262"/>
        <item x="93"/>
        <item x="300"/>
        <item x="129"/>
        <item x="128"/>
        <item x="79"/>
        <item x="78"/>
        <item x="152"/>
        <item x="272"/>
        <item x="151"/>
        <item x="196"/>
        <item x="92"/>
        <item x="288"/>
        <item x="218"/>
        <item x="119"/>
        <item x="150"/>
        <item x="235"/>
        <item x="118"/>
        <item x="77"/>
        <item x="61"/>
        <item x="271"/>
        <item x="149"/>
        <item x="283"/>
        <item x="195"/>
        <item x="127"/>
        <item x="104"/>
        <item x="181"/>
        <item x="282"/>
        <item x="245"/>
        <item x="60"/>
        <item x="270"/>
        <item x="217"/>
        <item x="244"/>
        <item x="194"/>
        <item x="204"/>
        <item x="160"/>
        <item x="117"/>
        <item x="216"/>
        <item x="76"/>
        <item x="42"/>
        <item x="203"/>
        <item x="215"/>
        <item x="269"/>
        <item x="180"/>
        <item x="193"/>
        <item x="281"/>
        <item x="192"/>
        <item x="243"/>
        <item x="179"/>
        <item x="261"/>
        <item x="178"/>
        <item x="41"/>
        <item x="214"/>
        <item x="177"/>
        <item x="213"/>
        <item x="191"/>
        <item x="40"/>
        <item x="176"/>
        <item x="59"/>
        <item x="190"/>
        <item x="91"/>
        <item x="175"/>
        <item x="212"/>
        <item x="39"/>
        <item x="174"/>
        <item x="148"/>
        <item x="38"/>
        <item x="189"/>
        <item x="268"/>
        <item x="37"/>
        <item x="202"/>
        <item x="36"/>
        <item x="35"/>
        <item x="147"/>
        <item x="146"/>
        <item x="201"/>
        <item x="173"/>
        <item x="75"/>
        <item x="34"/>
        <item x="33"/>
        <item x="32"/>
        <item x="172"/>
        <item x="171"/>
        <item x="211"/>
        <item x="31"/>
        <item x="170"/>
        <item x="145"/>
        <item x="30"/>
        <item x="188"/>
        <item x="187"/>
        <item x="144"/>
        <item x="210"/>
        <item x="209"/>
        <item x="29"/>
        <item x="28"/>
        <item x="27"/>
        <item x="169"/>
        <item x="26"/>
        <item x="186"/>
        <item x="168"/>
        <item x="19"/>
        <item x="25"/>
        <item x="18"/>
        <item x="17"/>
        <item x="16"/>
        <item x="24"/>
        <item x="15"/>
        <item x="23"/>
        <item x="143"/>
        <item x="14"/>
        <item x="13"/>
        <item x="22"/>
        <item x="21"/>
        <item x="12"/>
        <item x="11"/>
        <item x="10"/>
        <item x="9"/>
        <item x="8"/>
        <item x="7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531">
        <item x="522"/>
        <item x="315"/>
        <item x="294"/>
        <item x="521"/>
        <item x="293"/>
        <item x="439"/>
        <item x="137"/>
        <item x="136"/>
        <item x="426"/>
        <item x="501"/>
        <item x="164"/>
        <item x="163"/>
        <item x="261"/>
        <item x="402"/>
        <item x="225"/>
        <item x="260"/>
        <item x="489"/>
        <item x="124"/>
        <item x="135"/>
        <item x="224"/>
        <item x="123"/>
        <item x="134"/>
        <item x="213"/>
        <item x="259"/>
        <item x="401"/>
        <item x="212"/>
        <item x="74"/>
        <item x="196"/>
        <item x="19"/>
        <item x="122"/>
        <item x="411"/>
        <item x="18"/>
        <item x="17"/>
        <item x="16"/>
        <item x="39"/>
        <item x="57"/>
        <item x="271"/>
        <item x="238"/>
        <item x="195"/>
        <item x="162"/>
        <item x="73"/>
        <item x="88"/>
        <item x="270"/>
        <item x="152"/>
        <item x="292"/>
        <item x="331"/>
        <item x="194"/>
        <item x="121"/>
        <item x="56"/>
        <item x="180"/>
        <item x="445"/>
        <item x="72"/>
        <item x="38"/>
        <item x="488"/>
        <item x="87"/>
        <item x="249"/>
        <item x="55"/>
        <item x="86"/>
        <item x="37"/>
        <item x="15"/>
        <item x="304"/>
        <item x="151"/>
        <item x="36"/>
        <item x="35"/>
        <item x="365"/>
        <item x="462"/>
        <item x="400"/>
        <item x="248"/>
        <item x="322"/>
        <item x="432"/>
        <item x="107"/>
        <item x="373"/>
        <item x="211"/>
        <item x="282"/>
        <item x="106"/>
        <item x="372"/>
        <item x="399"/>
        <item x="54"/>
        <item x="85"/>
        <item x="179"/>
        <item x="84"/>
        <item x="425"/>
        <item x="14"/>
        <item x="339"/>
        <item x="133"/>
        <item x="321"/>
        <item x="53"/>
        <item x="193"/>
        <item x="237"/>
        <item x="13"/>
        <item x="482"/>
        <item x="34"/>
        <item x="71"/>
        <item x="371"/>
        <item x="281"/>
        <item x="105"/>
        <item x="161"/>
        <item x="104"/>
        <item x="223"/>
        <item x="389"/>
        <item x="506"/>
        <item x="70"/>
        <item x="520"/>
        <item x="103"/>
        <item x="364"/>
        <item x="247"/>
        <item x="160"/>
        <item x="338"/>
        <item x="210"/>
        <item x="159"/>
        <item x="33"/>
        <item x="178"/>
        <item x="500"/>
        <item x="192"/>
        <item x="345"/>
        <item x="32"/>
        <item x="150"/>
        <item x="330"/>
        <item x="177"/>
        <item x="410"/>
        <item x="102"/>
        <item x="236"/>
        <item x="530"/>
        <item x="176"/>
        <item x="209"/>
        <item x="175"/>
        <item x="31"/>
        <item x="208"/>
        <item x="320"/>
        <item x="120"/>
        <item x="235"/>
        <item x="174"/>
        <item x="409"/>
        <item x="119"/>
        <item x="30"/>
        <item x="52"/>
        <item x="101"/>
        <item x="51"/>
        <item x="355"/>
        <item x="100"/>
        <item x="207"/>
        <item x="83"/>
        <item x="50"/>
        <item x="444"/>
        <item x="99"/>
        <item x="149"/>
        <item x="481"/>
        <item x="438"/>
        <item x="158"/>
        <item x="98"/>
        <item x="314"/>
        <item x="431"/>
        <item x="69"/>
        <item x="246"/>
        <item x="173"/>
        <item x="82"/>
        <item x="132"/>
        <item x="68"/>
        <item x="12"/>
        <item x="303"/>
        <item x="172"/>
        <item x="363"/>
        <item x="354"/>
        <item x="206"/>
        <item x="81"/>
        <item x="191"/>
        <item x="388"/>
        <item x="505"/>
        <item x="258"/>
        <item x="118"/>
        <item x="398"/>
        <item x="131"/>
        <item x="319"/>
        <item x="11"/>
        <item x="313"/>
        <item x="280"/>
        <item x="49"/>
        <item x="97"/>
        <item x="117"/>
        <item x="443"/>
        <item x="245"/>
        <item x="190"/>
        <item x="362"/>
        <item x="10"/>
        <item x="148"/>
        <item x="234"/>
        <item x="495"/>
        <item x="458"/>
        <item x="189"/>
        <item x="9"/>
        <item x="408"/>
        <item x="476"/>
        <item x="116"/>
        <item x="302"/>
        <item x="205"/>
        <item x="380"/>
        <item x="418"/>
        <item x="67"/>
        <item x="96"/>
        <item x="80"/>
        <item x="95"/>
        <item x="291"/>
        <item x="48"/>
        <item x="379"/>
        <item x="353"/>
        <item x="147"/>
        <item x="8"/>
        <item x="468"/>
        <item x="7"/>
        <item x="378"/>
        <item x="29"/>
        <item x="301"/>
        <item x="66"/>
        <item x="397"/>
        <item x="244"/>
        <item x="279"/>
        <item x="188"/>
        <item x="146"/>
        <item x="222"/>
        <item x="337"/>
        <item x="28"/>
        <item x="27"/>
        <item x="396"/>
        <item x="269"/>
        <item x="26"/>
        <item x="494"/>
        <item x="257"/>
        <item x="65"/>
        <item x="352"/>
        <item x="312"/>
        <item x="204"/>
        <item x="407"/>
        <item x="361"/>
        <item x="233"/>
        <item x="290"/>
        <item x="424"/>
        <item x="475"/>
        <item x="115"/>
        <item x="221"/>
        <item x="461"/>
        <item x="351"/>
        <item x="187"/>
        <item x="203"/>
        <item x="171"/>
        <item x="406"/>
        <item x="145"/>
        <item x="460"/>
        <item x="329"/>
        <item x="311"/>
        <item x="423"/>
        <item x="268"/>
        <item x="442"/>
        <item x="64"/>
        <item x="170"/>
        <item x="220"/>
        <item x="114"/>
        <item x="202"/>
        <item x="169"/>
        <item x="47"/>
        <item x="422"/>
        <item x="113"/>
        <item x="130"/>
        <item x="6"/>
        <item x="474"/>
        <item x="168"/>
        <item x="289"/>
        <item x="267"/>
        <item x="300"/>
        <item x="144"/>
        <item x="5"/>
        <item x="370"/>
        <item x="46"/>
        <item x="232"/>
        <item x="25"/>
        <item x="256"/>
        <item x="201"/>
        <item x="94"/>
        <item x="395"/>
        <item x="255"/>
        <item x="529"/>
        <item x="266"/>
        <item x="377"/>
        <item x="473"/>
        <item x="328"/>
        <item x="344"/>
        <item x="63"/>
        <item x="376"/>
        <item x="452"/>
        <item x="387"/>
        <item x="288"/>
        <item x="254"/>
        <item x="24"/>
        <item x="310"/>
        <item x="451"/>
        <item x="519"/>
        <item x="386"/>
        <item x="467"/>
        <item x="112"/>
        <item x="219"/>
        <item x="394"/>
        <item x="528"/>
        <item x="186"/>
        <item x="93"/>
        <item x="278"/>
        <item x="421"/>
        <item x="45"/>
        <item x="518"/>
        <item x="129"/>
        <item x="231"/>
        <item x="417"/>
        <item x="218"/>
        <item x="230"/>
        <item x="111"/>
        <item x="499"/>
        <item x="416"/>
        <item x="527"/>
        <item x="450"/>
        <item x="299"/>
        <item x="480"/>
        <item x="157"/>
        <item x="143"/>
        <item x="457"/>
        <item x="327"/>
        <item x="44"/>
        <item x="200"/>
        <item x="62"/>
        <item x="350"/>
        <item x="4"/>
        <item x="23"/>
        <item x="243"/>
        <item x="277"/>
        <item x="43"/>
        <item x="343"/>
        <item x="456"/>
        <item x="498"/>
        <item x="156"/>
        <item x="336"/>
        <item x="466"/>
        <item x="309"/>
        <item x="342"/>
        <item x="349"/>
        <item x="229"/>
        <item x="287"/>
        <item x="318"/>
        <item x="517"/>
        <item x="298"/>
        <item x="265"/>
        <item x="449"/>
        <item x="493"/>
        <item x="142"/>
        <item x="360"/>
        <item x="128"/>
        <item x="393"/>
        <item x="308"/>
        <item x="326"/>
        <item x="92"/>
        <item x="61"/>
        <item x="437"/>
        <item x="348"/>
        <item x="472"/>
        <item x="341"/>
        <item x="253"/>
        <item x="3"/>
        <item x="276"/>
        <item x="441"/>
        <item x="167"/>
        <item x="465"/>
        <item x="79"/>
        <item x="516"/>
        <item x="185"/>
        <item x="184"/>
        <item x="392"/>
        <item x="286"/>
        <item x="141"/>
        <item x="471"/>
        <item x="78"/>
        <item x="183"/>
        <item x="385"/>
        <item x="455"/>
        <item x="415"/>
        <item x="384"/>
        <item x="464"/>
        <item x="405"/>
        <item x="487"/>
        <item x="436"/>
        <item x="359"/>
        <item x="217"/>
        <item x="526"/>
        <item x="414"/>
        <item x="479"/>
        <item x="486"/>
        <item x="166"/>
        <item x="91"/>
        <item x="252"/>
        <item x="504"/>
        <item x="358"/>
        <item x="430"/>
        <item x="275"/>
        <item x="515"/>
        <item x="454"/>
        <item x="335"/>
        <item x="375"/>
        <item x="77"/>
        <item x="216"/>
        <item x="369"/>
        <item x="510"/>
        <item x="297"/>
        <item x="514"/>
        <item x="285"/>
        <item x="448"/>
        <item x="503"/>
        <item x="485"/>
        <item x="242"/>
        <item x="90"/>
        <item x="284"/>
        <item x="22"/>
        <item x="2"/>
        <item x="497"/>
        <item x="513"/>
        <item x="478"/>
        <item x="420"/>
        <item x="391"/>
        <item x="374"/>
        <item x="496"/>
        <item x="484"/>
        <item x="368"/>
        <item x="447"/>
        <item x="334"/>
        <item x="512"/>
        <item x="367"/>
        <item x="429"/>
        <item x="509"/>
        <item x="435"/>
        <item x="492"/>
        <item x="155"/>
        <item x="413"/>
        <item x="241"/>
        <item x="140"/>
        <item x="110"/>
        <item x="42"/>
        <item x="440"/>
        <item x="139"/>
        <item x="446"/>
        <item x="317"/>
        <item x="199"/>
        <item x="251"/>
        <item x="357"/>
        <item x="76"/>
        <item x="325"/>
        <item x="428"/>
        <item x="404"/>
        <item x="240"/>
        <item x="21"/>
        <item x="1"/>
        <item x="154"/>
        <item x="307"/>
        <item x="198"/>
        <item x="383"/>
        <item x="60"/>
        <item x="508"/>
        <item x="264"/>
        <item x="333"/>
        <item x="463"/>
        <item x="390"/>
        <item x="356"/>
        <item x="412"/>
        <item x="263"/>
        <item x="324"/>
        <item x="382"/>
        <item x="419"/>
        <item x="502"/>
        <item x="109"/>
        <item x="182"/>
        <item x="366"/>
        <item x="274"/>
        <item x="59"/>
        <item x="347"/>
        <item x="525"/>
        <item x="127"/>
        <item x="165"/>
        <item x="381"/>
        <item x="41"/>
        <item x="273"/>
        <item x="453"/>
        <item x="126"/>
        <item x="138"/>
        <item x="228"/>
        <item x="272"/>
        <item x="524"/>
        <item x="332"/>
        <item x="434"/>
        <item x="346"/>
        <item x="403"/>
        <item x="239"/>
        <item x="40"/>
        <item x="306"/>
        <item x="427"/>
        <item x="483"/>
        <item x="523"/>
        <item x="296"/>
        <item x="181"/>
        <item x="470"/>
        <item x="316"/>
        <item x="491"/>
        <item x="295"/>
        <item x="0"/>
        <item x="227"/>
        <item x="507"/>
        <item x="262"/>
        <item x="226"/>
        <item x="215"/>
        <item x="125"/>
        <item x="323"/>
        <item x="108"/>
        <item x="477"/>
        <item x="511"/>
        <item x="305"/>
        <item x="490"/>
        <item x="214"/>
        <item x="283"/>
        <item x="469"/>
        <item x="89"/>
        <item x="250"/>
        <item x="197"/>
        <item x="20"/>
        <item x="340"/>
        <item x="58"/>
        <item x="433"/>
        <item x="75"/>
        <item x="459"/>
        <item x="153"/>
      </items>
    </pivotField>
    <pivotField dataField="1" showAll="0" defaultSubtotal="0">
      <items count="223">
        <item x="116"/>
        <item x="69"/>
        <item x="103"/>
        <item x="56"/>
        <item x="53"/>
        <item x="70"/>
        <item x="102"/>
        <item x="126"/>
        <item x="63"/>
        <item x="54"/>
        <item x="80"/>
        <item x="52"/>
        <item x="179"/>
        <item x="66"/>
        <item x="47"/>
        <item x="37"/>
        <item x="82"/>
        <item x="49"/>
        <item x="62"/>
        <item x="110"/>
        <item x="78"/>
        <item x="94"/>
        <item x="92"/>
        <item x="68"/>
        <item x="133"/>
        <item x="50"/>
        <item x="75"/>
        <item x="194"/>
        <item x="55"/>
        <item x="101"/>
        <item x="174"/>
        <item x="15"/>
        <item x="51"/>
        <item x="99"/>
        <item x="100"/>
        <item x="164"/>
        <item x="208"/>
        <item x="67"/>
        <item x="171"/>
        <item x="93"/>
        <item x="91"/>
        <item x="163"/>
        <item x="64"/>
        <item x="203"/>
        <item x="35"/>
        <item x="38"/>
        <item x="205"/>
        <item x="184"/>
        <item x="81"/>
        <item x="79"/>
        <item x="127"/>
        <item x="190"/>
        <item x="198"/>
        <item x="65"/>
        <item x="98"/>
        <item x="130"/>
        <item x="218"/>
        <item x="178"/>
        <item x="48"/>
        <item x="209"/>
        <item x="59"/>
        <item x="159"/>
        <item x="115"/>
        <item x="183"/>
        <item x="105"/>
        <item x="114"/>
        <item x="211"/>
        <item x="132"/>
        <item x="152"/>
        <item x="97"/>
        <item x="216"/>
        <item x="44"/>
        <item x="158"/>
        <item x="77"/>
        <item x="207"/>
        <item x="202"/>
        <item x="187"/>
        <item x="220"/>
        <item x="128"/>
        <item x="177"/>
        <item x="36"/>
        <item x="222"/>
        <item x="212"/>
        <item x="108"/>
        <item x="175"/>
        <item x="109"/>
        <item x="219"/>
        <item x="90"/>
        <item x="221"/>
        <item x="195"/>
        <item x="87"/>
        <item x="217"/>
        <item x="76"/>
        <item x="89"/>
        <item x="46"/>
        <item x="193"/>
        <item x="197"/>
        <item x="43"/>
        <item x="213"/>
        <item x="131"/>
        <item x="192"/>
        <item x="32"/>
        <item x="85"/>
        <item x="141"/>
        <item x="88"/>
        <item x="107"/>
        <item x="215"/>
        <item x="188"/>
        <item x="191"/>
        <item x="61"/>
        <item x="146"/>
        <item x="125"/>
        <item x="201"/>
        <item x="157"/>
        <item x="42"/>
        <item x="196"/>
        <item x="60"/>
        <item x="113"/>
        <item x="74"/>
        <item x="147"/>
        <item x="145"/>
        <item x="45"/>
        <item x="172"/>
        <item x="181"/>
        <item x="30"/>
        <item x="72"/>
        <item x="129"/>
        <item x="86"/>
        <item x="123"/>
        <item x="214"/>
        <item x="156"/>
        <item x="96"/>
        <item x="136"/>
        <item x="26"/>
        <item x="204"/>
        <item x="19"/>
        <item x="189"/>
        <item x="39"/>
        <item x="162"/>
        <item x="119"/>
        <item x="210"/>
        <item x="31"/>
        <item x="173"/>
        <item x="144"/>
        <item x="121"/>
        <item x="182"/>
        <item x="112"/>
        <item x="124"/>
        <item x="111"/>
        <item x="150"/>
        <item x="170"/>
        <item x="199"/>
        <item x="84"/>
        <item x="106"/>
        <item x="73"/>
        <item x="33"/>
        <item x="155"/>
        <item x="206"/>
        <item x="200"/>
        <item x="120"/>
        <item x="58"/>
        <item x="41"/>
        <item x="165"/>
        <item x="168"/>
        <item x="95"/>
        <item x="104"/>
        <item x="153"/>
        <item x="142"/>
        <item x="137"/>
        <item x="151"/>
        <item x="154"/>
        <item x="176"/>
        <item x="180"/>
        <item x="169"/>
        <item x="40"/>
        <item x="143"/>
        <item x="140"/>
        <item x="16"/>
        <item x="34"/>
        <item x="14"/>
        <item x="57"/>
        <item x="122"/>
        <item x="139"/>
        <item x="83"/>
        <item x="186"/>
        <item x="138"/>
        <item x="161"/>
        <item x="185"/>
        <item x="27"/>
        <item x="160"/>
        <item x="71"/>
        <item x="118"/>
        <item x="167"/>
        <item x="17"/>
        <item x="18"/>
        <item x="149"/>
        <item x="21"/>
        <item x="28"/>
        <item x="166"/>
        <item x="23"/>
        <item x="13"/>
        <item x="24"/>
        <item x="25"/>
        <item x="29"/>
        <item x="10"/>
        <item x="135"/>
        <item x="148"/>
        <item x="134"/>
        <item x="9"/>
        <item x="4"/>
        <item x="11"/>
        <item x="117"/>
        <item x="12"/>
        <item x="22"/>
        <item x="7"/>
        <item x="2"/>
        <item x="6"/>
        <item x="8"/>
        <item x="5"/>
        <item x="3"/>
        <item x="20"/>
        <item x="1"/>
        <item x="0"/>
      </items>
    </pivotField>
    <pivotField dataField="1" showAll="0" defaultSubtotal="0">
      <items count="592">
        <item x="151"/>
        <item x="198"/>
        <item x="15"/>
        <item x="69"/>
        <item x="130"/>
        <item x="37"/>
        <item x="381"/>
        <item x="163"/>
        <item x="268"/>
        <item x="164"/>
        <item x="149"/>
        <item x="118"/>
        <item x="179"/>
        <item x="54"/>
        <item x="282"/>
        <item x="242"/>
        <item x="133"/>
        <item x="51"/>
        <item x="68"/>
        <item x="35"/>
        <item x="267"/>
        <item x="19"/>
        <item x="241"/>
        <item x="166"/>
        <item x="70"/>
        <item x="195"/>
        <item x="117"/>
        <item x="194"/>
        <item x="313"/>
        <item x="165"/>
        <item x="150"/>
        <item x="264"/>
        <item x="81"/>
        <item x="534"/>
        <item x="134"/>
        <item x="281"/>
        <item x="83"/>
        <item x="161"/>
        <item x="36"/>
        <item x="116"/>
        <item x="62"/>
        <item x="580"/>
        <item x="240"/>
        <item x="102"/>
        <item x="52"/>
        <item x="193"/>
        <item x="16"/>
        <item x="14"/>
        <item x="525"/>
        <item x="447"/>
        <item x="560"/>
        <item x="32"/>
        <item x="235"/>
        <item x="85"/>
        <item x="325"/>
        <item x="591"/>
        <item x="50"/>
        <item x="262"/>
        <item x="221"/>
        <item x="382"/>
        <item x="152"/>
        <item x="87"/>
        <item x="197"/>
        <item x="371"/>
        <item x="238"/>
        <item x="502"/>
        <item x="98"/>
        <item x="236"/>
        <item x="177"/>
        <item x="457"/>
        <item x="266"/>
        <item x="66"/>
        <item x="280"/>
        <item x="45"/>
        <item x="398"/>
        <item x="532"/>
        <item x="30"/>
        <item x="63"/>
        <item x="79"/>
        <item x="420"/>
        <item x="211"/>
        <item x="370"/>
        <item x="212"/>
        <item x="507"/>
        <item x="346"/>
        <item x="589"/>
        <item x="17"/>
        <item x="231"/>
        <item x="204"/>
        <item x="26"/>
        <item x="391"/>
        <item x="86"/>
        <item x="293"/>
        <item x="99"/>
        <item x="18"/>
        <item x="312"/>
        <item x="372"/>
        <item x="31"/>
        <item x="379"/>
        <item x="485"/>
        <item x="337"/>
        <item x="128"/>
        <item x="76"/>
        <item x="582"/>
        <item x="369"/>
        <item x="224"/>
        <item x="113"/>
        <item x="429"/>
        <item x="124"/>
        <item x="290"/>
        <item x="326"/>
        <item x="223"/>
        <item x="203"/>
        <item x="515"/>
        <item x="132"/>
        <item x="302"/>
        <item x="265"/>
        <item x="222"/>
        <item x="33"/>
        <item x="210"/>
        <item x="131"/>
        <item x="239"/>
        <item x="380"/>
        <item x="145"/>
        <item x="13"/>
        <item x="322"/>
        <item x="358"/>
        <item x="108"/>
        <item x="311"/>
        <item x="48"/>
        <item x="148"/>
        <item x="217"/>
        <item x="303"/>
        <item x="188"/>
        <item x="100"/>
        <item x="543"/>
        <item x="10"/>
        <item x="180"/>
        <item x="408"/>
        <item x="272"/>
        <item x="465"/>
        <item x="588"/>
        <item x="338"/>
        <item x="253"/>
        <item x="206"/>
        <item x="144"/>
        <item x="53"/>
        <item x="291"/>
        <item x="530"/>
        <item x="110"/>
        <item x="335"/>
        <item x="522"/>
        <item x="455"/>
        <item x="362"/>
        <item x="96"/>
        <item x="114"/>
        <item x="143"/>
        <item x="170"/>
        <item x="47"/>
        <item x="365"/>
        <item x="436"/>
        <item x="101"/>
        <item x="474"/>
        <item x="292"/>
        <item x="49"/>
        <item x="357"/>
        <item x="456"/>
        <item x="97"/>
        <item x="409"/>
        <item x="196"/>
        <item x="147"/>
        <item x="192"/>
        <item x="176"/>
        <item x="445"/>
        <item x="520"/>
        <item x="256"/>
        <item x="581"/>
        <item x="393"/>
        <item x="323"/>
        <item x="437"/>
        <item x="175"/>
        <item x="533"/>
        <item x="34"/>
        <item x="255"/>
        <item x="275"/>
        <item x="84"/>
        <item x="356"/>
        <item x="376"/>
        <item x="139"/>
        <item x="82"/>
        <item x="366"/>
        <item x="324"/>
        <item x="590"/>
        <item x="214"/>
        <item x="237"/>
        <item x="483"/>
        <item x="67"/>
        <item x="390"/>
        <item x="209"/>
        <item x="418"/>
        <item x="115"/>
        <item x="9"/>
        <item x="494"/>
        <item x="466"/>
        <item x="183"/>
        <item x="559"/>
        <item x="178"/>
        <item x="248"/>
        <item x="406"/>
        <item x="495"/>
        <item x="541"/>
        <item x="4"/>
        <item x="301"/>
        <item x="288"/>
        <item x="162"/>
        <item x="321"/>
        <item x="389"/>
        <item x="587"/>
        <item x="571"/>
        <item x="64"/>
        <item x="464"/>
        <item x="407"/>
        <item x="251"/>
        <item x="263"/>
        <item x="11"/>
        <item x="111"/>
        <item x="392"/>
        <item x="191"/>
        <item x="419"/>
        <item x="112"/>
        <item x="542"/>
        <item x="405"/>
        <item x="271"/>
        <item x="341"/>
        <item x="428"/>
        <item x="168"/>
        <item x="331"/>
        <item x="351"/>
        <item x="579"/>
        <item x="234"/>
        <item x="286"/>
        <item x="446"/>
        <item x="531"/>
        <item x="254"/>
        <item x="299"/>
        <item x="475"/>
        <item x="336"/>
        <item x="300"/>
        <item x="208"/>
        <item x="279"/>
        <item x="481"/>
        <item x="129"/>
        <item x="220"/>
        <item x="12"/>
        <item x="334"/>
        <item x="27"/>
        <item x="471"/>
        <item x="524"/>
        <item x="126"/>
        <item x="159"/>
        <item x="553"/>
        <item x="80"/>
        <item x="514"/>
        <item x="443"/>
        <item x="427"/>
        <item x="146"/>
        <item x="65"/>
        <item x="367"/>
        <item x="78"/>
        <item x="444"/>
        <item x="529"/>
        <item x="540"/>
        <item x="575"/>
        <item x="557"/>
        <item x="353"/>
        <item x="492"/>
        <item x="252"/>
        <item x="521"/>
        <item x="46"/>
        <item x="402"/>
        <item x="310"/>
        <item x="442"/>
        <item x="558"/>
        <item x="435"/>
        <item x="461"/>
        <item x="417"/>
        <item x="278"/>
        <item x="190"/>
        <item x="368"/>
        <item x="548"/>
        <item x="297"/>
        <item x="7"/>
        <item x="463"/>
        <item x="232"/>
        <item x="57"/>
        <item x="484"/>
        <item x="332"/>
        <item x="189"/>
        <item x="136"/>
        <item x="388"/>
        <item x="249"/>
        <item x="352"/>
        <item x="425"/>
        <item x="508"/>
        <item x="333"/>
        <item x="577"/>
        <item x="451"/>
        <item x="155"/>
        <item x="320"/>
        <item x="184"/>
        <item x="345"/>
        <item x="536"/>
        <item x="523"/>
        <item x="355"/>
        <item x="426"/>
        <item x="564"/>
        <item x="487"/>
        <item x="219"/>
        <item x="2"/>
        <item x="349"/>
        <item x="307"/>
        <item x="415"/>
        <item x="479"/>
        <item x="201"/>
        <item x="528"/>
        <item x="556"/>
        <item x="387"/>
        <item x="157"/>
        <item x="361"/>
        <item x="42"/>
        <item x="493"/>
        <item x="296"/>
        <item x="77"/>
        <item x="354"/>
        <item x="519"/>
        <item x="95"/>
        <item x="107"/>
        <item x="473"/>
        <item x="555"/>
        <item x="569"/>
        <item x="61"/>
        <item x="92"/>
        <item x="261"/>
        <item x="160"/>
        <item x="500"/>
        <item x="511"/>
        <item x="250"/>
        <item x="289"/>
        <item x="454"/>
        <item x="378"/>
        <item x="21"/>
        <item x="94"/>
        <item x="416"/>
        <item x="28"/>
        <item x="120"/>
        <item x="480"/>
        <item x="472"/>
        <item x="441"/>
        <item x="317"/>
        <item x="104"/>
        <item x="364"/>
        <item x="585"/>
        <item x="549"/>
        <item x="513"/>
        <item x="404"/>
        <item x="452"/>
        <item x="142"/>
        <item x="187"/>
        <item x="6"/>
        <item x="233"/>
        <item x="156"/>
        <item x="399"/>
        <item x="277"/>
        <item x="586"/>
        <item x="205"/>
        <item x="140"/>
        <item x="434"/>
        <item x="309"/>
        <item x="565"/>
        <item x="298"/>
        <item x="122"/>
        <item x="453"/>
        <item x="8"/>
        <item x="90"/>
        <item x="496"/>
        <item x="23"/>
        <item x="570"/>
        <item x="93"/>
        <item x="318"/>
        <item x="401"/>
        <item x="173"/>
        <item x="491"/>
        <item x="350"/>
        <item x="5"/>
        <item x="512"/>
        <item x="539"/>
        <item x="462"/>
        <item x="563"/>
        <item x="24"/>
        <item x="273"/>
        <item x="25"/>
        <item x="106"/>
        <item x="186"/>
        <item x="468"/>
        <item x="482"/>
        <item x="412"/>
        <item x="490"/>
        <item x="578"/>
        <item x="29"/>
        <item x="230"/>
        <item x="258"/>
        <item x="285"/>
        <item x="44"/>
        <item x="218"/>
        <item x="174"/>
        <item x="421"/>
        <item x="202"/>
        <item x="260"/>
        <item x="330"/>
        <item x="3"/>
        <item x="41"/>
        <item x="274"/>
        <item x="207"/>
        <item x="386"/>
        <item x="319"/>
        <item x="287"/>
        <item x="440"/>
        <item x="75"/>
        <item x="125"/>
        <item x="59"/>
        <item x="246"/>
        <item x="185"/>
        <item x="469"/>
        <item x="375"/>
        <item x="127"/>
        <item x="538"/>
        <item x="225"/>
        <item x="342"/>
        <item x="308"/>
        <item x="228"/>
        <item x="506"/>
        <item x="377"/>
        <item x="478"/>
        <item x="306"/>
        <item x="276"/>
        <item x="422"/>
        <item x="72"/>
        <item x="215"/>
        <item x="109"/>
        <item x="216"/>
        <item x="167"/>
        <item x="244"/>
        <item x="363"/>
        <item x="403"/>
        <item x="397"/>
        <item x="247"/>
        <item x="554"/>
        <item x="259"/>
        <item x="545"/>
        <item x="488"/>
        <item x="576"/>
        <item x="470"/>
        <item x="172"/>
        <item x="60"/>
        <item x="91"/>
        <item x="40"/>
        <item x="414"/>
        <item x="501"/>
        <item x="433"/>
        <item x="504"/>
        <item x="547"/>
        <item x="574"/>
        <item x="450"/>
        <item x="58"/>
        <item x="316"/>
        <item x="141"/>
        <item x="343"/>
        <item x="518"/>
        <item x="158"/>
        <item x="424"/>
        <item x="123"/>
        <item x="498"/>
        <item x="344"/>
        <item x="74"/>
        <item x="527"/>
        <item x="413"/>
        <item x="430"/>
        <item x="573"/>
        <item x="43"/>
        <item x="489"/>
        <item x="432"/>
        <item x="568"/>
        <item x="171"/>
        <item x="229"/>
        <item x="396"/>
        <item x="526"/>
        <item x="385"/>
        <item x="505"/>
        <item x="411"/>
        <item x="537"/>
        <item x="295"/>
        <item x="552"/>
        <item x="460"/>
        <item x="546"/>
        <item x="423"/>
        <item x="73"/>
        <item x="327"/>
        <item x="467"/>
        <item x="383"/>
        <item x="138"/>
        <item x="89"/>
        <item x="284"/>
        <item x="561"/>
        <item x="567"/>
        <item x="562"/>
        <item x="439"/>
        <item x="245"/>
        <item x="329"/>
        <item x="551"/>
        <item x="459"/>
        <item x="400"/>
        <item x="486"/>
        <item x="431"/>
        <item x="509"/>
        <item x="438"/>
        <item x="477"/>
        <item x="22"/>
        <item x="566"/>
        <item x="510"/>
        <item x="499"/>
        <item x="384"/>
        <item x="154"/>
        <item x="348"/>
        <item x="169"/>
        <item x="410"/>
        <item x="584"/>
        <item x="1"/>
        <item x="105"/>
        <item x="449"/>
        <item x="200"/>
        <item x="458"/>
        <item x="583"/>
        <item x="395"/>
        <item x="497"/>
        <item x="182"/>
        <item x="550"/>
        <item x="572"/>
        <item x="283"/>
        <item x="328"/>
        <item x="39"/>
        <item x="476"/>
        <item x="448"/>
        <item x="339"/>
        <item x="360"/>
        <item x="315"/>
        <item x="56"/>
        <item x="243"/>
        <item x="535"/>
        <item x="305"/>
        <item x="347"/>
        <item x="270"/>
        <item x="227"/>
        <item x="137"/>
        <item x="544"/>
        <item x="373"/>
        <item x="294"/>
        <item x="340"/>
        <item x="394"/>
        <item x="374"/>
        <item x="121"/>
        <item x="257"/>
        <item x="135"/>
        <item x="503"/>
        <item x="304"/>
        <item x="517"/>
        <item x="181"/>
        <item x="314"/>
        <item x="0"/>
        <item x="516"/>
        <item x="119"/>
        <item x="88"/>
        <item x="213"/>
        <item x="103"/>
        <item x="38"/>
        <item x="226"/>
        <item x="269"/>
        <item x="359"/>
        <item x="199"/>
        <item x="55"/>
        <item x="20"/>
        <item x="71"/>
        <item x="153"/>
      </items>
    </pivotField>
    <pivotField dataField="1" showAll="0" defaultSubtotal="0">
      <items count="211">
        <item x="193"/>
        <item x="201"/>
        <item x="195"/>
        <item x="194"/>
        <item x="186"/>
        <item x="101"/>
        <item x="184"/>
        <item x="182"/>
        <item x="97"/>
        <item x="181"/>
        <item x="84"/>
        <item x="81"/>
        <item x="185"/>
        <item x="180"/>
        <item x="192"/>
        <item x="113"/>
        <item x="91"/>
        <item x="188"/>
        <item x="104"/>
        <item x="183"/>
        <item x="62"/>
        <item x="110"/>
        <item x="87"/>
        <item x="204"/>
        <item x="73"/>
        <item x="46"/>
        <item x="68"/>
        <item x="67"/>
        <item x="94"/>
        <item x="85"/>
        <item x="56"/>
        <item x="99"/>
        <item x="90"/>
        <item x="74"/>
        <item x="86"/>
        <item x="102"/>
        <item x="69"/>
        <item x="144"/>
        <item x="77"/>
        <item x="58"/>
        <item x="66"/>
        <item x="70"/>
        <item x="103"/>
        <item x="72"/>
        <item x="53"/>
        <item x="71"/>
        <item x="95"/>
        <item x="93"/>
        <item x="75"/>
        <item x="57"/>
        <item x="63"/>
        <item x="105"/>
        <item x="55"/>
        <item x="60"/>
        <item x="112"/>
        <item x="209"/>
        <item x="210"/>
        <item x="49"/>
        <item x="78"/>
        <item x="96"/>
        <item x="61"/>
        <item x="92"/>
        <item x="164"/>
        <item x="47"/>
        <item x="40"/>
        <item x="51"/>
        <item x="109"/>
        <item x="169"/>
        <item x="117"/>
        <item x="89"/>
        <item x="83"/>
        <item x="54"/>
        <item x="52"/>
        <item x="111"/>
        <item x="190"/>
        <item x="116"/>
        <item x="100"/>
        <item x="206"/>
        <item x="82"/>
        <item x="50"/>
        <item x="205"/>
        <item x="107"/>
        <item x="43"/>
        <item x="208"/>
        <item x="42"/>
        <item x="159"/>
        <item x="64"/>
        <item x="165"/>
        <item x="65"/>
        <item x="176"/>
        <item x="80"/>
        <item x="79"/>
        <item x="178"/>
        <item x="131"/>
        <item x="200"/>
        <item x="130"/>
        <item x="207"/>
        <item x="179"/>
        <item x="174"/>
        <item x="44"/>
        <item x="135"/>
        <item x="134"/>
        <item x="151"/>
        <item x="171"/>
        <item x="48"/>
        <item x="108"/>
        <item x="163"/>
        <item x="125"/>
        <item x="88"/>
        <item x="191"/>
        <item x="128"/>
        <item x="45"/>
        <item x="136"/>
        <item x="129"/>
        <item x="167"/>
        <item x="143"/>
        <item x="115"/>
        <item x="152"/>
        <item x="160"/>
        <item x="161"/>
        <item x="123"/>
        <item x="177"/>
        <item x="141"/>
        <item x="153"/>
        <item x="199"/>
        <item x="168"/>
        <item x="162"/>
        <item x="150"/>
        <item x="198"/>
        <item x="196"/>
        <item x="149"/>
        <item x="98"/>
        <item x="147"/>
        <item x="203"/>
        <item x="29"/>
        <item x="173"/>
        <item x="127"/>
        <item x="76"/>
        <item x="133"/>
        <item x="114"/>
        <item x="145"/>
        <item x="126"/>
        <item x="106"/>
        <item x="137"/>
        <item x="148"/>
        <item x="59"/>
        <item x="155"/>
        <item x="175"/>
        <item x="197"/>
        <item x="146"/>
        <item x="124"/>
        <item x="132"/>
        <item x="189"/>
        <item x="187"/>
        <item x="166"/>
        <item x="39"/>
        <item x="119"/>
        <item x="158"/>
        <item x="118"/>
        <item x="172"/>
        <item x="202"/>
        <item x="34"/>
        <item x="142"/>
        <item x="140"/>
        <item x="41"/>
        <item x="157"/>
        <item x="121"/>
        <item x="156"/>
        <item x="122"/>
        <item x="28"/>
        <item x="38"/>
        <item x="36"/>
        <item x="8"/>
        <item x="22"/>
        <item x="37"/>
        <item x="139"/>
        <item x="35"/>
        <item x="33"/>
        <item x="25"/>
        <item x="20"/>
        <item x="31"/>
        <item x="154"/>
        <item x="24"/>
        <item x="120"/>
        <item x="138"/>
        <item x="32"/>
        <item x="170"/>
        <item x="27"/>
        <item x="30"/>
        <item x="18"/>
        <item x="17"/>
        <item x="23"/>
        <item x="26"/>
        <item x="16"/>
        <item x="12"/>
        <item x="6"/>
        <item x="19"/>
        <item x="13"/>
        <item x="0"/>
        <item x="5"/>
        <item x="7"/>
        <item x="15"/>
        <item x="11"/>
        <item x="1"/>
        <item x="14"/>
        <item x="9"/>
        <item x="21"/>
        <item x="10"/>
        <item x="3"/>
        <item x="4"/>
        <item x="2"/>
      </items>
    </pivotField>
    <pivotField dataField="1" showAll="0" defaultSubtotal="0">
      <items count="501">
        <item x="264"/>
        <item x="317"/>
        <item x="360"/>
        <item x="307"/>
        <item x="414"/>
        <item x="281"/>
        <item x="379"/>
        <item x="392"/>
        <item x="405"/>
        <item x="106"/>
        <item x="455"/>
        <item x="430"/>
        <item x="480"/>
        <item x="421"/>
        <item x="449"/>
        <item x="333"/>
        <item x="284"/>
        <item x="489"/>
        <item x="464"/>
        <item x="84"/>
        <item x="99"/>
        <item x="182"/>
        <item x="187"/>
        <item x="77"/>
        <item x="428"/>
        <item x="111"/>
        <item x="439"/>
        <item x="267"/>
        <item x="419"/>
        <item x="232"/>
        <item x="370"/>
        <item x="390"/>
        <item x="465"/>
        <item x="92"/>
        <item x="152"/>
        <item x="361"/>
        <item x="292"/>
        <item x="8"/>
        <item x="453"/>
        <item x="368"/>
        <item x="246"/>
        <item x="347"/>
        <item x="315"/>
        <item x="29"/>
        <item x="207"/>
        <item x="167"/>
        <item x="255"/>
        <item x="134"/>
        <item x="422"/>
        <item x="403"/>
        <item x="398"/>
        <item x="345"/>
        <item x="334"/>
        <item x="45"/>
        <item x="319"/>
        <item x="126"/>
        <item x="458"/>
        <item x="230"/>
        <item x="218"/>
        <item x="322"/>
        <item x="282"/>
        <item x="395"/>
        <item x="93"/>
        <item x="165"/>
        <item x="305"/>
        <item x="247"/>
        <item x="473"/>
        <item x="354"/>
        <item x="54"/>
        <item x="169"/>
        <item x="244"/>
        <item x="229"/>
        <item x="59"/>
        <item x="174"/>
        <item x="425"/>
        <item x="259"/>
        <item x="285"/>
        <item x="237"/>
        <item x="438"/>
        <item x="409"/>
        <item x="80"/>
        <item x="269"/>
        <item x="399"/>
        <item x="200"/>
        <item x="310"/>
        <item x="18"/>
        <item x="82"/>
        <item x="326"/>
        <item x="195"/>
        <item x="39"/>
        <item x="376"/>
        <item x="110"/>
        <item x="144"/>
        <item x="327"/>
        <item x="431"/>
        <item x="275"/>
        <item x="69"/>
        <item x="295"/>
        <item x="130"/>
        <item x="157"/>
        <item x="17"/>
        <item x="492"/>
        <item x="386"/>
        <item x="444"/>
        <item x="168"/>
        <item x="227"/>
        <item x="34"/>
        <item x="416"/>
        <item x="66"/>
        <item x="145"/>
        <item x="78"/>
        <item x="159"/>
        <item x="270"/>
        <item x="442"/>
        <item x="65"/>
        <item x="158"/>
        <item x="318"/>
        <item x="335"/>
        <item x="408"/>
        <item x="188"/>
        <item x="478"/>
        <item x="51"/>
        <item x="357"/>
        <item x="127"/>
        <item x="308"/>
        <item x="88"/>
        <item x="346"/>
        <item x="245"/>
        <item x="166"/>
        <item x="201"/>
        <item x="256"/>
        <item x="87"/>
        <item x="172"/>
        <item x="366"/>
        <item x="242"/>
        <item x="105"/>
        <item x="397"/>
        <item x="223"/>
        <item x="95"/>
        <item x="154"/>
        <item x="55"/>
        <item x="253"/>
        <item x="276"/>
        <item x="125"/>
        <item x="112"/>
        <item x="16"/>
        <item x="96"/>
        <item x="258"/>
        <item x="12"/>
        <item x="316"/>
        <item x="70"/>
        <item x="181"/>
        <item x="28"/>
        <item x="53"/>
        <item x="72"/>
        <item x="231"/>
        <item x="189"/>
        <item x="131"/>
        <item x="369"/>
        <item x="6"/>
        <item x="86"/>
        <item x="222"/>
        <item x="205"/>
        <item x="141"/>
        <item x="342"/>
        <item x="124"/>
        <item x="212"/>
        <item x="179"/>
        <item x="19"/>
        <item x="13"/>
        <item x="67"/>
        <item x="199"/>
        <item x="115"/>
        <item x="48"/>
        <item x="221"/>
        <item x="143"/>
        <item x="290"/>
        <item x="328"/>
        <item x="208"/>
        <item x="198"/>
        <item x="0"/>
        <item x="142"/>
        <item x="151"/>
        <item x="213"/>
        <item x="38"/>
        <item x="5"/>
        <item x="36"/>
        <item x="85"/>
        <item x="56"/>
        <item x="186"/>
        <item x="215"/>
        <item x="101"/>
        <item x="64"/>
        <item x="257"/>
        <item x="243"/>
        <item x="46"/>
        <item x="138"/>
        <item x="337"/>
        <item x="7"/>
        <item x="277"/>
        <item x="15"/>
        <item x="22"/>
        <item x="37"/>
        <item x="391"/>
        <item x="233"/>
        <item x="35"/>
        <item x="33"/>
        <item x="384"/>
        <item x="248"/>
        <item x="404"/>
        <item x="25"/>
        <item x="336"/>
        <item x="367"/>
        <item x="109"/>
        <item x="173"/>
        <item x="196"/>
        <item x="359"/>
        <item x="418"/>
        <item x="139"/>
        <item x="68"/>
        <item x="171"/>
        <item x="437"/>
        <item x="52"/>
        <item x="372"/>
        <item x="11"/>
        <item x="279"/>
        <item x="50"/>
        <item x="170"/>
        <item x="297"/>
        <item x="20"/>
        <item x="156"/>
        <item x="1"/>
        <item x="240"/>
        <item x="197"/>
        <item x="183"/>
        <item x="344"/>
        <item x="432"/>
        <item x="14"/>
        <item x="313"/>
        <item x="500"/>
        <item x="380"/>
        <item x="60"/>
        <item x="90"/>
        <item x="296"/>
        <item x="118"/>
        <item x="283"/>
        <item x="31"/>
        <item x="73"/>
        <item x="97"/>
        <item x="325"/>
        <item x="175"/>
        <item x="185"/>
        <item x="454"/>
        <item x="94"/>
        <item x="235"/>
        <item x="83"/>
        <item x="24"/>
        <item x="155"/>
        <item x="49"/>
        <item x="268"/>
        <item x="358"/>
        <item x="108"/>
        <item x="278"/>
        <item x="210"/>
        <item x="32"/>
        <item x="413"/>
        <item x="238"/>
        <item x="184"/>
        <item x="42"/>
        <item x="163"/>
        <item x="476"/>
        <item x="113"/>
        <item x="140"/>
        <item x="27"/>
        <item x="9"/>
        <item x="41"/>
        <item x="280"/>
        <item x="30"/>
        <item x="491"/>
        <item x="294"/>
        <item x="456"/>
        <item x="211"/>
        <item x="266"/>
        <item x="228"/>
        <item x="412"/>
        <item x="128"/>
        <item x="433"/>
        <item x="122"/>
        <item x="58"/>
        <item x="153"/>
        <item x="383"/>
        <item x="286"/>
        <item x="362"/>
        <item x="429"/>
        <item x="323"/>
        <item x="450"/>
        <item x="301"/>
        <item x="102"/>
        <item x="81"/>
        <item x="220"/>
        <item x="352"/>
        <item x="324"/>
        <item x="331"/>
        <item x="463"/>
        <item x="251"/>
        <item x="348"/>
        <item x="239"/>
        <item x="265"/>
        <item x="407"/>
        <item x="120"/>
        <item x="271"/>
        <item x="98"/>
        <item x="378"/>
        <item x="137"/>
        <item x="202"/>
        <item x="107"/>
        <item x="191"/>
        <item x="216"/>
        <item x="136"/>
        <item x="43"/>
        <item x="304"/>
        <item x="377"/>
        <item x="10"/>
        <item x="209"/>
        <item x="123"/>
        <item x="217"/>
        <item x="479"/>
        <item x="135"/>
        <item x="462"/>
        <item x="293"/>
        <item x="306"/>
        <item x="79"/>
        <item x="469"/>
        <item x="119"/>
        <item x="103"/>
        <item x="436"/>
        <item x="47"/>
        <item x="471"/>
        <item x="385"/>
        <item x="273"/>
        <item x="133"/>
        <item x="147"/>
        <item x="446"/>
        <item x="402"/>
        <item x="91"/>
        <item x="350"/>
        <item x="164"/>
        <item x="76"/>
        <item x="162"/>
        <item x="23"/>
        <item x="493"/>
        <item x="146"/>
        <item x="44"/>
        <item x="343"/>
        <item x="121"/>
        <item x="332"/>
        <item x="241"/>
        <item x="420"/>
        <item x="396"/>
        <item x="314"/>
        <item x="254"/>
        <item x="63"/>
        <item x="375"/>
        <item x="448"/>
        <item x="477"/>
        <item x="180"/>
        <item x="75"/>
        <item x="406"/>
        <item x="74"/>
        <item x="443"/>
        <item x="178"/>
        <item x="194"/>
        <item x="26"/>
        <item x="3"/>
        <item x="389"/>
        <item x="302"/>
        <item x="364"/>
        <item x="486"/>
        <item x="353"/>
        <item x="447"/>
        <item x="61"/>
        <item x="461"/>
        <item x="204"/>
        <item x="116"/>
        <item x="149"/>
        <item x="62"/>
        <item x="401"/>
        <item x="340"/>
        <item x="460"/>
        <item x="274"/>
        <item x="300"/>
        <item x="150"/>
        <item x="427"/>
        <item x="485"/>
        <item x="104"/>
        <item x="374"/>
        <item x="356"/>
        <item x="252"/>
        <item x="303"/>
        <item x="494"/>
        <item x="291"/>
        <item x="206"/>
        <item x="260"/>
        <item x="219"/>
        <item x="483"/>
        <item x="193"/>
        <item x="472"/>
        <item x="236"/>
        <item x="192"/>
        <item x="289"/>
        <item x="495"/>
        <item x="467"/>
        <item x="287"/>
        <item x="459"/>
        <item x="311"/>
        <item x="468"/>
        <item x="441"/>
        <item x="426"/>
        <item x="338"/>
        <item x="394"/>
        <item x="435"/>
        <item x="329"/>
        <item x="117"/>
        <item x="4"/>
        <item x="373"/>
        <item x="484"/>
        <item x="132"/>
        <item x="177"/>
        <item x="161"/>
        <item x="351"/>
        <item x="261"/>
        <item x="381"/>
        <item x="89"/>
        <item x="262"/>
        <item x="490"/>
        <item x="250"/>
        <item x="225"/>
        <item x="263"/>
        <item x="355"/>
        <item x="312"/>
        <item x="321"/>
        <item x="400"/>
        <item x="226"/>
        <item x="298"/>
        <item x="341"/>
        <item x="299"/>
        <item x="452"/>
        <item x="434"/>
        <item x="272"/>
        <item x="371"/>
        <item x="288"/>
        <item x="499"/>
        <item x="475"/>
        <item x="71"/>
        <item x="330"/>
        <item x="339"/>
        <item x="176"/>
        <item x="423"/>
        <item x="365"/>
        <item x="415"/>
        <item x="496"/>
        <item x="2"/>
        <item x="160"/>
        <item x="309"/>
        <item x="148"/>
        <item x="363"/>
        <item x="410"/>
        <item x="224"/>
        <item x="129"/>
        <item x="21"/>
        <item x="203"/>
        <item x="445"/>
        <item x="466"/>
        <item x="190"/>
        <item x="457"/>
        <item x="474"/>
        <item x="388"/>
        <item x="393"/>
        <item x="417"/>
        <item x="487"/>
        <item x="440"/>
        <item x="349"/>
        <item x="100"/>
        <item x="57"/>
        <item x="249"/>
        <item x="411"/>
        <item x="382"/>
        <item x="482"/>
        <item x="114"/>
        <item x="40"/>
        <item x="387"/>
        <item x="497"/>
        <item x="214"/>
        <item x="320"/>
        <item x="424"/>
        <item x="470"/>
        <item x="234"/>
        <item x="488"/>
        <item x="481"/>
        <item x="451"/>
        <item x="498"/>
      </items>
    </pivotField>
    <pivotField dataField="1" showAll="0" defaultSubtotal="0">
      <items count="14">
        <item x="1"/>
        <item x="4"/>
        <item x="8"/>
        <item x="10"/>
        <item x="13"/>
        <item x="9"/>
        <item x="12"/>
        <item x="11"/>
        <item x="7"/>
        <item x="0"/>
        <item x="3"/>
        <item x="5"/>
        <item x="2"/>
        <item x="6"/>
      </items>
    </pivotField>
  </pivotFields>
  <rowFields count="3">
    <field x="2"/>
    <field x="6"/>
    <field x="5"/>
  </rowFields>
  <rowItems count="1153">
    <i>
      <x/>
    </i>
    <i r="1">
      <x/>
      <x v="35"/>
    </i>
    <i r="1">
      <x v="1"/>
      <x v="37"/>
    </i>
    <i r="1">
      <x v="2"/>
      <x v="31"/>
    </i>
    <i r="1">
      <x v="3"/>
      <x v="27"/>
    </i>
    <i r="1">
      <x v="4"/>
      <x/>
    </i>
    <i r="1">
      <x v="5"/>
      <x v="25"/>
    </i>
    <i r="1">
      <x v="6"/>
      <x v="40"/>
    </i>
    <i r="1">
      <x v="7"/>
      <x v="32"/>
    </i>
    <i r="1">
      <x v="8"/>
      <x v="41"/>
    </i>
    <i r="1">
      <x v="9"/>
      <x v="1"/>
    </i>
    <i r="1">
      <x v="10"/>
      <x v="2"/>
    </i>
    <i r="1">
      <x v="11"/>
      <x v="24"/>
    </i>
    <i r="1">
      <x v="12"/>
      <x v="26"/>
    </i>
    <i r="1">
      <x v="13"/>
      <x v="33"/>
    </i>
    <i r="1">
      <x v="14"/>
      <x v="30"/>
    </i>
    <i r="1">
      <x v="15"/>
      <x v="42"/>
    </i>
    <i r="1">
      <x v="16"/>
      <x v="23"/>
    </i>
    <i r="1">
      <x v="17"/>
      <x v="13"/>
    </i>
    <i r="1">
      <x v="18"/>
      <x v="38"/>
    </i>
    <i r="1">
      <x v="19"/>
      <x v="22"/>
    </i>
    <i t="blank">
      <x/>
    </i>
    <i>
      <x v="1"/>
    </i>
    <i r="1">
      <x/>
      <x v="35"/>
    </i>
    <i r="1">
      <x v="1"/>
      <x v="31"/>
    </i>
    <i r="1">
      <x v="2"/>
      <x v="37"/>
    </i>
    <i r="1">
      <x v="3"/>
      <x v="27"/>
    </i>
    <i r="1">
      <x v="4"/>
      <x v="32"/>
    </i>
    <i r="1">
      <x v="5"/>
      <x v="25"/>
    </i>
    <i r="1">
      <x v="6"/>
      <x/>
    </i>
    <i r="1">
      <x v="7"/>
      <x v="24"/>
    </i>
    <i r="1">
      <x v="8"/>
      <x v="40"/>
    </i>
    <i r="1">
      <x v="9"/>
      <x v="41"/>
    </i>
    <i r="1">
      <x v="10"/>
      <x v="2"/>
    </i>
    <i r="1">
      <x v="11"/>
      <x v="1"/>
    </i>
    <i r="1">
      <x v="12"/>
      <x v="30"/>
    </i>
    <i r="1">
      <x v="13"/>
      <x v="33"/>
    </i>
    <i r="1">
      <x v="14"/>
      <x v="26"/>
    </i>
    <i r="1">
      <x v="15"/>
      <x v="22"/>
    </i>
    <i r="1">
      <x v="16"/>
      <x v="23"/>
    </i>
    <i r="1">
      <x v="17"/>
      <x v="42"/>
    </i>
    <i r="1">
      <x v="18"/>
      <x v="45"/>
    </i>
    <i r="1">
      <x v="19"/>
      <x v="38"/>
    </i>
    <i t="blank">
      <x v="1"/>
    </i>
    <i>
      <x v="2"/>
    </i>
    <i r="1">
      <x/>
      <x v="35"/>
    </i>
    <i r="1">
      <x v="1"/>
      <x v="31"/>
    </i>
    <i r="1">
      <x v="2"/>
      <x v="37"/>
    </i>
    <i r="1">
      <x v="3"/>
      <x v="40"/>
    </i>
    <i r="1">
      <x v="4"/>
      <x v="27"/>
    </i>
    <i r="1">
      <x v="5"/>
      <x v="32"/>
    </i>
    <i r="1">
      <x v="6"/>
      <x v="41"/>
    </i>
    <i r="1">
      <x v="7"/>
      <x v="25"/>
    </i>
    <i r="1">
      <x v="8"/>
      <x/>
    </i>
    <i r="1">
      <x v="9"/>
      <x v="24"/>
    </i>
    <i r="1">
      <x v="10"/>
      <x v="30"/>
    </i>
    <i r="1">
      <x v="11"/>
      <x v="33"/>
    </i>
    <i r="1">
      <x v="12"/>
      <x v="1"/>
    </i>
    <i r="1">
      <x v="13"/>
      <x v="26"/>
    </i>
    <i r="1">
      <x v="14"/>
      <x v="2"/>
    </i>
    <i r="2">
      <x v="45"/>
    </i>
    <i r="1">
      <x v="16"/>
      <x v="23"/>
    </i>
    <i r="1">
      <x v="17"/>
      <x v="20"/>
    </i>
    <i r="1">
      <x v="18"/>
      <x v="38"/>
    </i>
    <i r="1">
      <x v="19"/>
      <x v="42"/>
    </i>
    <i t="blank">
      <x v="2"/>
    </i>
    <i>
      <x v="3"/>
    </i>
    <i r="1">
      <x/>
      <x v="35"/>
    </i>
    <i r="1">
      <x v="1"/>
      <x v="37"/>
    </i>
    <i r="1">
      <x v="2"/>
      <x v="31"/>
    </i>
    <i r="1">
      <x v="3"/>
      <x v="25"/>
    </i>
    <i r="1">
      <x v="4"/>
      <x v="27"/>
    </i>
    <i r="1">
      <x v="5"/>
      <x v="41"/>
    </i>
    <i r="1">
      <x v="6"/>
      <x v="40"/>
    </i>
    <i r="1">
      <x v="7"/>
      <x/>
    </i>
    <i r="1">
      <x v="8"/>
      <x v="30"/>
    </i>
    <i r="1">
      <x v="9"/>
      <x v="2"/>
    </i>
    <i r="1">
      <x v="10"/>
      <x v="32"/>
    </i>
    <i r="1">
      <x v="11"/>
      <x v="24"/>
    </i>
    <i r="1">
      <x v="12"/>
      <x v="1"/>
    </i>
    <i r="2">
      <x v="26"/>
    </i>
    <i r="1">
      <x v="14"/>
      <x v="33"/>
    </i>
    <i r="1">
      <x v="15"/>
      <x v="23"/>
    </i>
    <i r="2">
      <x v="45"/>
    </i>
    <i r="1">
      <x v="17"/>
      <x v="42"/>
    </i>
    <i r="1">
      <x v="18"/>
      <x v="38"/>
    </i>
    <i r="1">
      <x v="19"/>
      <x v="22"/>
    </i>
    <i t="blank">
      <x v="3"/>
    </i>
    <i>
      <x v="4"/>
    </i>
    <i r="1">
      <x/>
      <x v="35"/>
    </i>
    <i r="1">
      <x v="1"/>
      <x v="31"/>
    </i>
    <i r="1">
      <x v="2"/>
      <x v="37"/>
    </i>
    <i r="1">
      <x v="3"/>
      <x v="25"/>
    </i>
    <i r="1">
      <x v="4"/>
      <x v="27"/>
    </i>
    <i r="1">
      <x v="5"/>
      <x/>
    </i>
    <i r="1">
      <x v="6"/>
      <x v="2"/>
    </i>
    <i r="2">
      <x v="41"/>
    </i>
    <i r="1">
      <x v="8"/>
      <x v="24"/>
    </i>
    <i r="1">
      <x v="9"/>
      <x v="1"/>
    </i>
    <i r="1">
      <x v="10"/>
      <x v="32"/>
    </i>
    <i r="1">
      <x v="11"/>
      <x v="22"/>
    </i>
    <i r="1">
      <x v="12"/>
      <x v="26"/>
    </i>
    <i r="1">
      <x v="13"/>
      <x v="20"/>
    </i>
    <i r="1">
      <x v="14"/>
      <x v="30"/>
    </i>
    <i r="1">
      <x v="15"/>
      <x v="40"/>
    </i>
    <i r="1">
      <x v="16"/>
      <x v="21"/>
    </i>
    <i r="1">
      <x v="17"/>
      <x v="23"/>
    </i>
    <i r="1">
      <x v="18"/>
      <x v="33"/>
    </i>
    <i r="1">
      <x v="19"/>
      <x v="7"/>
    </i>
    <i r="2">
      <x v="42"/>
    </i>
    <i t="blank">
      <x v="4"/>
    </i>
    <i>
      <x v="5"/>
    </i>
    <i r="1">
      <x/>
      <x v="35"/>
    </i>
    <i r="1">
      <x v="1"/>
      <x v="37"/>
    </i>
    <i r="1">
      <x v="2"/>
      <x v="31"/>
    </i>
    <i r="1">
      <x v="3"/>
      <x v="25"/>
    </i>
    <i r="1">
      <x v="4"/>
      <x v="27"/>
    </i>
    <i r="1">
      <x v="5"/>
      <x v="9"/>
    </i>
    <i r="1">
      <x v="6"/>
      <x v="41"/>
    </i>
    <i r="1">
      <x v="7"/>
      <x v="10"/>
    </i>
    <i r="1">
      <x v="8"/>
      <x v="1"/>
    </i>
    <i r="1">
      <x v="9"/>
      <x v="15"/>
    </i>
    <i r="1">
      <x v="10"/>
      <x/>
    </i>
    <i r="1">
      <x v="11"/>
      <x v="2"/>
    </i>
    <i r="1">
      <x v="12"/>
      <x v="13"/>
    </i>
    <i r="1">
      <x v="13"/>
      <x v="26"/>
    </i>
    <i r="1">
      <x v="14"/>
      <x v="24"/>
    </i>
    <i r="1">
      <x v="15"/>
      <x v="32"/>
    </i>
    <i r="1">
      <x v="16"/>
      <x v="21"/>
    </i>
    <i r="1">
      <x v="17"/>
      <x v="42"/>
    </i>
    <i r="1">
      <x v="18"/>
      <x v="40"/>
    </i>
    <i r="1">
      <x v="19"/>
      <x v="30"/>
    </i>
    <i t="blank">
      <x v="5"/>
    </i>
    <i>
      <x v="6"/>
    </i>
    <i r="1">
      <x/>
      <x v="35"/>
    </i>
    <i r="1">
      <x v="1"/>
      <x v="31"/>
    </i>
    <i r="1">
      <x v="2"/>
      <x v="37"/>
    </i>
    <i r="1">
      <x v="3"/>
      <x v="25"/>
    </i>
    <i r="1">
      <x v="4"/>
      <x v="27"/>
    </i>
    <i r="1">
      <x v="5"/>
      <x/>
    </i>
    <i r="1">
      <x v="6"/>
      <x v="40"/>
    </i>
    <i r="1">
      <x v="7"/>
      <x v="41"/>
    </i>
    <i r="1">
      <x v="8"/>
      <x v="2"/>
    </i>
    <i r="2">
      <x v="32"/>
    </i>
    <i r="1">
      <x v="10"/>
      <x v="24"/>
    </i>
    <i r="1">
      <x v="11"/>
      <x v="30"/>
    </i>
    <i r="1">
      <x v="12"/>
      <x v="1"/>
    </i>
    <i r="2">
      <x v="33"/>
    </i>
    <i r="1">
      <x v="14"/>
      <x v="42"/>
    </i>
    <i r="1">
      <x v="15"/>
      <x v="26"/>
    </i>
    <i r="1">
      <x v="16"/>
      <x v="9"/>
    </i>
    <i r="1">
      <x v="17"/>
      <x v="28"/>
    </i>
    <i r="1">
      <x v="18"/>
      <x v="23"/>
    </i>
    <i r="1">
      <x v="19"/>
      <x v="21"/>
    </i>
    <i t="blank">
      <x v="6"/>
    </i>
    <i>
      <x v="7"/>
    </i>
    <i r="1">
      <x/>
      <x v="37"/>
    </i>
    <i r="1">
      <x v="1"/>
      <x v="31"/>
    </i>
    <i r="1">
      <x v="2"/>
      <x v="35"/>
    </i>
    <i r="1">
      <x v="3"/>
      <x v="27"/>
    </i>
    <i r="2">
      <x v="40"/>
    </i>
    <i r="1">
      <x v="5"/>
      <x/>
    </i>
    <i r="2">
      <x v="25"/>
    </i>
    <i r="1">
      <x v="7"/>
      <x v="24"/>
    </i>
    <i r="2">
      <x v="41"/>
    </i>
    <i r="1">
      <x v="9"/>
      <x v="26"/>
    </i>
    <i r="1">
      <x v="10"/>
      <x v="2"/>
    </i>
    <i r="2">
      <x v="32"/>
    </i>
    <i r="2">
      <x v="42"/>
    </i>
    <i r="1">
      <x v="13"/>
      <x v="1"/>
    </i>
    <i r="1">
      <x v="14"/>
      <x v="30"/>
    </i>
    <i r="1">
      <x v="15"/>
      <x v="33"/>
    </i>
    <i r="1">
      <x v="16"/>
      <x v="45"/>
    </i>
    <i r="1">
      <x v="17"/>
      <x v="38"/>
    </i>
    <i r="1">
      <x v="18"/>
      <x v="29"/>
    </i>
    <i r="1">
      <x v="19"/>
      <x v="28"/>
    </i>
    <i t="blank">
      <x v="7"/>
    </i>
    <i>
      <x v="8"/>
    </i>
    <i r="1">
      <x/>
      <x v="37"/>
    </i>
    <i r="1">
      <x v="1"/>
      <x v="31"/>
    </i>
    <i r="1">
      <x v="2"/>
      <x v="35"/>
    </i>
    <i r="1">
      <x v="3"/>
      <x v="40"/>
    </i>
    <i r="1">
      <x v="4"/>
      <x/>
    </i>
    <i r="1">
      <x v="5"/>
      <x v="27"/>
    </i>
    <i r="1">
      <x v="6"/>
      <x v="41"/>
    </i>
    <i r="1">
      <x v="7"/>
      <x v="25"/>
    </i>
    <i r="1">
      <x v="8"/>
      <x v="1"/>
    </i>
    <i r="1">
      <x v="9"/>
      <x v="24"/>
    </i>
    <i r="1">
      <x v="10"/>
      <x v="2"/>
    </i>
    <i r="1">
      <x v="11"/>
      <x v="26"/>
    </i>
    <i r="1">
      <x v="12"/>
      <x v="32"/>
    </i>
    <i r="1">
      <x v="13"/>
      <x v="33"/>
    </i>
    <i r="1">
      <x v="14"/>
      <x v="42"/>
    </i>
    <i r="1">
      <x v="15"/>
      <x v="38"/>
    </i>
    <i r="1">
      <x v="16"/>
      <x v="23"/>
    </i>
    <i r="1">
      <x v="17"/>
      <x v="45"/>
    </i>
    <i r="1">
      <x v="18"/>
      <x v="30"/>
    </i>
    <i r="1">
      <x v="19"/>
      <x v="21"/>
    </i>
    <i t="blank">
      <x v="8"/>
    </i>
    <i>
      <x v="9"/>
    </i>
    <i r="1">
      <x/>
      <x v="35"/>
    </i>
    <i r="1">
      <x v="1"/>
      <x v="32"/>
    </i>
    <i r="1">
      <x v="2"/>
      <x v="31"/>
    </i>
    <i r="1">
      <x v="3"/>
      <x v="27"/>
    </i>
    <i r="1">
      <x v="4"/>
      <x v="24"/>
    </i>
    <i r="1">
      <x v="5"/>
      <x v="37"/>
    </i>
    <i r="1">
      <x v="6"/>
      <x v="25"/>
    </i>
    <i r="1">
      <x v="7"/>
      <x v="33"/>
    </i>
    <i r="1">
      <x v="8"/>
      <x v="41"/>
    </i>
    <i r="1">
      <x v="9"/>
      <x v="30"/>
    </i>
    <i r="1">
      <x v="10"/>
      <x v="40"/>
    </i>
    <i r="1">
      <x v="11"/>
      <x v="23"/>
    </i>
    <i r="1">
      <x v="12"/>
      <x/>
    </i>
    <i r="1">
      <x v="13"/>
      <x v="22"/>
    </i>
    <i r="1">
      <x v="14"/>
      <x v="45"/>
    </i>
    <i r="1">
      <x v="15"/>
      <x v="38"/>
    </i>
    <i r="1">
      <x v="16"/>
      <x v="20"/>
    </i>
    <i r="1">
      <x v="17"/>
      <x v="2"/>
    </i>
    <i r="1">
      <x v="18"/>
      <x v="21"/>
    </i>
    <i r="1">
      <x v="19"/>
      <x v="1"/>
    </i>
    <i r="2">
      <x v="19"/>
    </i>
    <i t="blank">
      <x v="9"/>
    </i>
    <i>
      <x v="10"/>
    </i>
    <i r="1">
      <x/>
      <x v="31"/>
    </i>
    <i r="1">
      <x v="1"/>
      <x/>
    </i>
    <i r="1">
      <x v="2"/>
      <x v="37"/>
    </i>
    <i r="1">
      <x v="3"/>
      <x v="1"/>
    </i>
    <i r="1">
      <x v="4"/>
      <x v="27"/>
    </i>
    <i r="1">
      <x v="5"/>
      <x v="2"/>
    </i>
    <i r="1">
      <x v="6"/>
      <x v="35"/>
    </i>
    <i r="1">
      <x v="7"/>
      <x v="40"/>
    </i>
    <i r="1">
      <x v="8"/>
      <x v="26"/>
    </i>
    <i r="1">
      <x v="9"/>
      <x v="41"/>
    </i>
    <i r="1">
      <x v="10"/>
      <x v="25"/>
    </i>
    <i r="1">
      <x v="11"/>
      <x v="13"/>
    </i>
    <i r="1">
      <x v="12"/>
      <x v="44"/>
    </i>
    <i r="1">
      <x v="13"/>
      <x v="33"/>
    </i>
    <i r="1">
      <x v="14"/>
      <x v="21"/>
    </i>
    <i r="1">
      <x v="15"/>
      <x v="22"/>
    </i>
    <i r="1">
      <x v="16"/>
      <x v="32"/>
    </i>
    <i r="1">
      <x v="17"/>
      <x v="42"/>
    </i>
    <i r="1">
      <x v="18"/>
      <x v="15"/>
    </i>
    <i r="1">
      <x v="19"/>
      <x v="38"/>
    </i>
    <i r="2">
      <x v="45"/>
    </i>
    <i t="blank">
      <x v="10"/>
    </i>
    <i>
      <x v="11"/>
    </i>
    <i r="1">
      <x/>
      <x v="35"/>
    </i>
    <i r="1">
      <x v="1"/>
      <x v="37"/>
    </i>
    <i r="1">
      <x v="2"/>
      <x/>
    </i>
    <i r="1">
      <x v="3"/>
      <x v="31"/>
    </i>
    <i r="1">
      <x v="4"/>
      <x v="27"/>
    </i>
    <i r="1">
      <x v="5"/>
      <x v="40"/>
    </i>
    <i r="1">
      <x v="6"/>
      <x v="25"/>
    </i>
    <i r="1">
      <x v="7"/>
      <x v="2"/>
    </i>
    <i r="1">
      <x v="8"/>
      <x v="26"/>
    </i>
    <i r="1">
      <x v="9"/>
      <x v="32"/>
    </i>
    <i r="1">
      <x v="10"/>
      <x v="41"/>
    </i>
    <i r="1">
      <x v="11"/>
      <x v="24"/>
    </i>
    <i r="1">
      <x v="12"/>
      <x v="1"/>
    </i>
    <i r="1">
      <x v="13"/>
      <x v="33"/>
    </i>
    <i r="1">
      <x v="14"/>
      <x v="30"/>
    </i>
    <i r="1">
      <x v="15"/>
      <x v="21"/>
    </i>
    <i r="1">
      <x v="16"/>
      <x v="22"/>
    </i>
    <i r="1">
      <x v="17"/>
      <x v="44"/>
    </i>
    <i r="1">
      <x v="18"/>
      <x v="13"/>
    </i>
    <i r="1">
      <x v="19"/>
      <x v="42"/>
    </i>
    <i t="blank">
      <x v="11"/>
    </i>
    <i>
      <x v="12"/>
    </i>
    <i r="1">
      <x/>
      <x v="35"/>
    </i>
    <i r="1">
      <x v="1"/>
      <x v="37"/>
    </i>
    <i r="1">
      <x v="2"/>
      <x v="31"/>
    </i>
    <i r="1">
      <x v="3"/>
      <x v="27"/>
    </i>
    <i r="1">
      <x v="4"/>
      <x/>
    </i>
    <i r="1">
      <x v="5"/>
      <x v="2"/>
    </i>
    <i r="1">
      <x v="6"/>
      <x v="25"/>
    </i>
    <i r="1">
      <x v="7"/>
      <x v="1"/>
    </i>
    <i r="2">
      <x v="41"/>
    </i>
    <i r="1">
      <x v="9"/>
      <x v="40"/>
    </i>
    <i r="1">
      <x v="10"/>
      <x v="32"/>
    </i>
    <i r="1">
      <x v="11"/>
      <x v="26"/>
    </i>
    <i r="1">
      <x v="12"/>
      <x v="42"/>
    </i>
    <i r="1">
      <x v="13"/>
      <x v="24"/>
    </i>
    <i r="1">
      <x v="14"/>
      <x v="13"/>
    </i>
    <i r="1">
      <x v="15"/>
      <x v="30"/>
    </i>
    <i r="1">
      <x v="16"/>
      <x v="15"/>
    </i>
    <i r="1">
      <x v="17"/>
      <x v="22"/>
    </i>
    <i r="1">
      <x v="18"/>
      <x v="38"/>
    </i>
    <i r="1">
      <x v="19"/>
      <x v="33"/>
    </i>
    <i t="blank">
      <x v="12"/>
    </i>
    <i>
      <x v="13"/>
    </i>
    <i r="1">
      <x/>
      <x v="35"/>
    </i>
    <i r="1">
      <x v="1"/>
      <x v="37"/>
    </i>
    <i r="1">
      <x v="2"/>
      <x v="31"/>
    </i>
    <i r="1">
      <x v="3"/>
      <x v="27"/>
    </i>
    <i r="1">
      <x v="4"/>
      <x v="40"/>
    </i>
    <i r="1">
      <x v="5"/>
      <x v="25"/>
    </i>
    <i r="1">
      <x v="6"/>
      <x/>
    </i>
    <i r="1">
      <x v="7"/>
      <x v="41"/>
    </i>
    <i r="1">
      <x v="8"/>
      <x v="32"/>
    </i>
    <i r="1">
      <x v="9"/>
      <x v="26"/>
    </i>
    <i r="1">
      <x v="10"/>
      <x v="24"/>
    </i>
    <i r="1">
      <x v="11"/>
      <x v="30"/>
    </i>
    <i r="1">
      <x v="12"/>
      <x v="1"/>
    </i>
    <i r="1">
      <x v="13"/>
      <x v="2"/>
    </i>
    <i r="1">
      <x v="14"/>
      <x v="42"/>
    </i>
    <i r="1">
      <x v="15"/>
      <x v="33"/>
    </i>
    <i r="1">
      <x v="16"/>
      <x v="38"/>
    </i>
    <i r="1">
      <x v="17"/>
      <x v="22"/>
    </i>
    <i r="1">
      <x v="18"/>
      <x v="23"/>
    </i>
    <i r="1">
      <x v="19"/>
      <x v="45"/>
    </i>
    <i t="blank">
      <x v="13"/>
    </i>
    <i>
      <x v="14"/>
    </i>
    <i r="1">
      <x/>
      <x v="31"/>
    </i>
    <i r="1">
      <x v="1"/>
      <x v="35"/>
    </i>
    <i r="1">
      <x v="2"/>
      <x v="37"/>
    </i>
    <i r="1">
      <x v="3"/>
      <x v="27"/>
    </i>
    <i r="1">
      <x v="4"/>
      <x v="41"/>
    </i>
    <i r="1">
      <x v="5"/>
      <x v="40"/>
    </i>
    <i r="1">
      <x v="6"/>
      <x/>
    </i>
    <i r="1">
      <x v="7"/>
      <x v="32"/>
    </i>
    <i r="1">
      <x v="8"/>
      <x v="25"/>
    </i>
    <i r="1">
      <x v="9"/>
      <x v="24"/>
    </i>
    <i r="1">
      <x v="10"/>
      <x v="30"/>
    </i>
    <i r="1">
      <x v="11"/>
      <x v="1"/>
    </i>
    <i r="1">
      <x v="12"/>
      <x v="26"/>
    </i>
    <i r="1">
      <x v="13"/>
      <x v="2"/>
    </i>
    <i r="1">
      <x v="14"/>
      <x v="33"/>
    </i>
    <i r="1">
      <x v="15"/>
      <x v="38"/>
    </i>
    <i r="1">
      <x v="16"/>
      <x v="23"/>
    </i>
    <i r="1">
      <x v="17"/>
      <x v="42"/>
    </i>
    <i r="1">
      <x v="18"/>
      <x v="45"/>
    </i>
    <i r="1">
      <x v="19"/>
      <x v="28"/>
    </i>
    <i t="blank">
      <x v="14"/>
    </i>
    <i>
      <x v="15"/>
    </i>
    <i r="1">
      <x/>
      <x v="35"/>
    </i>
    <i r="1">
      <x v="1"/>
      <x v="31"/>
    </i>
    <i r="1">
      <x v="2"/>
      <x v="37"/>
    </i>
    <i r="1">
      <x v="3"/>
      <x v="27"/>
    </i>
    <i r="1">
      <x v="4"/>
      <x v="25"/>
    </i>
    <i r="1">
      <x v="5"/>
      <x/>
    </i>
    <i r="1">
      <x v="6"/>
      <x v="40"/>
    </i>
    <i r="1">
      <x v="7"/>
      <x v="24"/>
    </i>
    <i r="1">
      <x v="8"/>
      <x v="41"/>
    </i>
    <i r="1">
      <x v="9"/>
      <x v="1"/>
    </i>
    <i r="1">
      <x v="10"/>
      <x v="26"/>
    </i>
    <i r="1">
      <x v="11"/>
      <x v="2"/>
    </i>
    <i r="1">
      <x v="12"/>
      <x v="32"/>
    </i>
    <i r="1">
      <x v="13"/>
      <x v="33"/>
    </i>
    <i r="1">
      <x v="14"/>
      <x v="42"/>
    </i>
    <i r="1">
      <x v="15"/>
      <x v="44"/>
    </i>
    <i r="1">
      <x v="16"/>
      <x v="20"/>
    </i>
    <i r="1">
      <x v="17"/>
      <x v="34"/>
    </i>
    <i r="1">
      <x v="18"/>
      <x v="38"/>
    </i>
    <i r="1">
      <x v="19"/>
      <x v="29"/>
    </i>
    <i t="blank">
      <x v="15"/>
    </i>
    <i>
      <x v="16"/>
    </i>
    <i r="1">
      <x/>
      <x v="31"/>
    </i>
    <i r="1">
      <x v="1"/>
      <x v="37"/>
    </i>
    <i r="1">
      <x v="2"/>
      <x v="35"/>
    </i>
    <i r="1">
      <x v="3"/>
      <x v="32"/>
    </i>
    <i r="1">
      <x v="4"/>
      <x v="27"/>
    </i>
    <i r="2">
      <x v="41"/>
    </i>
    <i r="1">
      <x v="6"/>
      <x v="40"/>
    </i>
    <i r="1">
      <x v="7"/>
      <x v="24"/>
    </i>
    <i r="1">
      <x v="8"/>
      <x v="25"/>
    </i>
    <i r="1">
      <x v="9"/>
      <x v="30"/>
    </i>
    <i r="1">
      <x v="10"/>
      <x/>
    </i>
    <i r="1">
      <x v="11"/>
      <x v="33"/>
    </i>
    <i r="1">
      <x v="12"/>
      <x v="23"/>
    </i>
    <i r="1">
      <x v="13"/>
      <x v="45"/>
    </i>
    <i r="1">
      <x v="14"/>
      <x v="38"/>
    </i>
    <i r="1">
      <x v="15"/>
      <x v="22"/>
    </i>
    <i r="1">
      <x v="16"/>
      <x v="2"/>
    </i>
    <i r="2">
      <x v="39"/>
    </i>
    <i r="1">
      <x v="18"/>
      <x v="28"/>
    </i>
    <i r="1">
      <x v="19"/>
      <x v="1"/>
    </i>
    <i r="2">
      <x v="36"/>
    </i>
    <i t="blank">
      <x v="16"/>
    </i>
    <i>
      <x v="17"/>
    </i>
    <i r="1">
      <x/>
      <x v="35"/>
    </i>
    <i r="1">
      <x v="1"/>
      <x v="37"/>
    </i>
    <i r="1">
      <x v="2"/>
      <x v="31"/>
    </i>
    <i r="1">
      <x v="3"/>
      <x/>
    </i>
    <i r="1">
      <x v="4"/>
      <x v="27"/>
    </i>
    <i r="1">
      <x v="5"/>
      <x v="2"/>
    </i>
    <i r="1">
      <x v="6"/>
      <x v="40"/>
    </i>
    <i r="1">
      <x v="7"/>
      <x v="1"/>
    </i>
    <i r="1">
      <x v="8"/>
      <x v="41"/>
    </i>
    <i r="1">
      <x v="9"/>
      <x v="25"/>
    </i>
    <i r="1">
      <x v="10"/>
      <x v="26"/>
    </i>
    <i r="1">
      <x v="11"/>
      <x v="32"/>
    </i>
    <i r="1">
      <x v="12"/>
      <x v="30"/>
    </i>
    <i r="1">
      <x v="13"/>
      <x v="24"/>
    </i>
    <i r="1">
      <x v="14"/>
      <x v="15"/>
    </i>
    <i r="2">
      <x v="42"/>
    </i>
    <i r="1">
      <x v="16"/>
      <x v="21"/>
    </i>
    <i r="1">
      <x v="17"/>
      <x v="33"/>
    </i>
    <i r="1">
      <x v="18"/>
      <x v="13"/>
    </i>
    <i r="1">
      <x v="19"/>
      <x v="22"/>
    </i>
    <i t="blank">
      <x v="17"/>
    </i>
    <i>
      <x v="18"/>
    </i>
    <i r="1">
      <x/>
      <x v="35"/>
    </i>
    <i r="1">
      <x v="1"/>
      <x v="37"/>
    </i>
    <i r="1">
      <x v="2"/>
      <x v="31"/>
    </i>
    <i r="1">
      <x v="3"/>
      <x v="27"/>
    </i>
    <i r="1">
      <x v="4"/>
      <x v="40"/>
    </i>
    <i r="1">
      <x v="5"/>
      <x/>
    </i>
    <i r="2">
      <x v="2"/>
    </i>
    <i r="1">
      <x v="7"/>
      <x v="25"/>
    </i>
    <i r="1">
      <x v="8"/>
      <x v="1"/>
    </i>
    <i r="1">
      <x v="9"/>
      <x v="41"/>
    </i>
    <i r="1">
      <x v="10"/>
      <x v="33"/>
    </i>
    <i r="1">
      <x v="11"/>
      <x v="24"/>
    </i>
    <i r="2">
      <x v="26"/>
    </i>
    <i r="1">
      <x v="13"/>
      <x v="42"/>
    </i>
    <i r="1">
      <x v="14"/>
      <x v="13"/>
    </i>
    <i r="1">
      <x v="15"/>
      <x v="32"/>
    </i>
    <i r="1">
      <x v="16"/>
      <x v="18"/>
    </i>
    <i r="2">
      <x v="44"/>
    </i>
    <i r="1">
      <x v="18"/>
      <x v="38"/>
    </i>
    <i r="1">
      <x v="19"/>
      <x v="3"/>
    </i>
    <i r="2">
      <x v="21"/>
    </i>
    <i r="2">
      <x v="39"/>
    </i>
    <i t="blank">
      <x v="18"/>
    </i>
    <i>
      <x v="19"/>
    </i>
    <i r="1">
      <x/>
      <x v="35"/>
    </i>
    <i r="1">
      <x v="1"/>
      <x v="27"/>
    </i>
    <i r="1">
      <x v="2"/>
      <x v="37"/>
    </i>
    <i r="1">
      <x v="3"/>
      <x/>
    </i>
    <i r="1">
      <x v="4"/>
      <x v="25"/>
    </i>
    <i r="1">
      <x v="5"/>
      <x v="31"/>
    </i>
    <i r="1">
      <x v="6"/>
      <x v="34"/>
    </i>
    <i r="1">
      <x v="7"/>
      <x v="40"/>
    </i>
    <i r="1">
      <x v="8"/>
      <x v="1"/>
    </i>
    <i r="1">
      <x v="9"/>
      <x v="24"/>
    </i>
    <i r="2">
      <x v="26"/>
    </i>
    <i r="1">
      <x v="11"/>
      <x v="2"/>
    </i>
    <i r="2">
      <x v="10"/>
    </i>
    <i r="1">
      <x v="13"/>
      <x v="41"/>
    </i>
    <i r="1">
      <x v="14"/>
      <x v="32"/>
    </i>
    <i r="1">
      <x v="15"/>
      <x v="33"/>
    </i>
    <i r="1">
      <x v="16"/>
      <x v="42"/>
    </i>
    <i r="1">
      <x v="17"/>
      <x v="4"/>
    </i>
    <i r="1">
      <x v="18"/>
      <x v="39"/>
    </i>
    <i r="1">
      <x v="19"/>
      <x v="21"/>
    </i>
    <i r="2">
      <x v="23"/>
    </i>
    <i t="blank">
      <x v="19"/>
    </i>
    <i>
      <x v="20"/>
    </i>
    <i r="1">
      <x/>
      <x v="35"/>
    </i>
    <i r="1">
      <x v="1"/>
      <x v="37"/>
    </i>
    <i r="1">
      <x v="2"/>
      <x v="31"/>
    </i>
    <i r="1">
      <x v="3"/>
      <x/>
    </i>
    <i r="1">
      <x v="4"/>
      <x v="27"/>
    </i>
    <i r="1">
      <x v="5"/>
      <x v="40"/>
    </i>
    <i r="1">
      <x v="6"/>
      <x v="2"/>
    </i>
    <i r="1">
      <x v="7"/>
      <x v="25"/>
    </i>
    <i r="2">
      <x v="41"/>
    </i>
    <i r="1">
      <x v="9"/>
      <x v="1"/>
    </i>
    <i r="1">
      <x v="10"/>
      <x v="26"/>
    </i>
    <i r="1">
      <x v="11"/>
      <x v="32"/>
    </i>
    <i r="1">
      <x v="12"/>
      <x v="30"/>
    </i>
    <i r="1">
      <x v="13"/>
      <x v="24"/>
    </i>
    <i r="1">
      <x v="14"/>
      <x v="38"/>
    </i>
    <i r="1">
      <x v="15"/>
      <x v="33"/>
    </i>
    <i r="1">
      <x v="16"/>
      <x v="42"/>
    </i>
    <i r="1">
      <x v="17"/>
      <x v="13"/>
    </i>
    <i r="1">
      <x v="18"/>
      <x v="21"/>
    </i>
    <i r="1">
      <x v="19"/>
      <x v="22"/>
    </i>
    <i t="blank">
      <x v="20"/>
    </i>
    <i>
      <x v="21"/>
    </i>
    <i r="1">
      <x/>
      <x v="35"/>
    </i>
    <i r="1">
      <x v="1"/>
      <x v="37"/>
    </i>
    <i r="1">
      <x v="2"/>
      <x v="27"/>
    </i>
    <i r="1">
      <x v="3"/>
      <x/>
    </i>
    <i r="1">
      <x v="4"/>
      <x v="31"/>
    </i>
    <i r="1">
      <x v="5"/>
      <x v="40"/>
    </i>
    <i r="1">
      <x v="6"/>
      <x v="25"/>
    </i>
    <i r="1">
      <x v="7"/>
      <x v="26"/>
    </i>
    <i r="1">
      <x v="8"/>
      <x v="1"/>
    </i>
    <i r="1">
      <x v="9"/>
      <x v="2"/>
    </i>
    <i r="1">
      <x v="10"/>
      <x v="24"/>
    </i>
    <i r="1">
      <x v="11"/>
      <x v="41"/>
    </i>
    <i r="1">
      <x v="12"/>
      <x v="42"/>
    </i>
    <i r="1">
      <x v="13"/>
      <x v="33"/>
    </i>
    <i r="1">
      <x v="14"/>
      <x v="32"/>
    </i>
    <i r="1">
      <x v="15"/>
      <x v="29"/>
    </i>
    <i r="1">
      <x v="16"/>
      <x v="13"/>
    </i>
    <i r="2">
      <x v="34"/>
    </i>
    <i r="1">
      <x v="18"/>
      <x v="22"/>
    </i>
    <i r="2">
      <x v="30"/>
    </i>
    <i r="2">
      <x v="38"/>
    </i>
    <i t="blank">
      <x v="21"/>
    </i>
    <i>
      <x v="22"/>
    </i>
    <i r="1">
      <x/>
      <x v="4"/>
    </i>
    <i r="1">
      <x v="1"/>
      <x v="35"/>
    </i>
    <i r="1">
      <x v="2"/>
      <x v="37"/>
    </i>
    <i r="1">
      <x v="3"/>
      <x v="27"/>
    </i>
    <i r="1">
      <x v="4"/>
      <x/>
    </i>
    <i r="1">
      <x v="5"/>
      <x v="26"/>
    </i>
    <i r="1">
      <x v="6"/>
      <x v="1"/>
    </i>
    <i r="1">
      <x v="7"/>
      <x v="31"/>
    </i>
    <i r="1">
      <x v="8"/>
      <x v="25"/>
    </i>
    <i r="1">
      <x v="9"/>
      <x v="40"/>
    </i>
    <i r="1">
      <x v="10"/>
      <x v="32"/>
    </i>
    <i r="1">
      <x v="11"/>
      <x v="2"/>
    </i>
    <i r="1">
      <x v="12"/>
      <x v="24"/>
    </i>
    <i r="1">
      <x v="13"/>
      <x v="13"/>
    </i>
    <i r="2">
      <x v="41"/>
    </i>
    <i r="1">
      <x v="15"/>
      <x v="19"/>
    </i>
    <i r="1">
      <x v="16"/>
      <x v="33"/>
    </i>
    <i r="1">
      <x v="17"/>
      <x v="44"/>
    </i>
    <i r="1">
      <x v="18"/>
      <x v="17"/>
    </i>
    <i r="1">
      <x v="19"/>
      <x v="21"/>
    </i>
    <i t="blank">
      <x v="22"/>
    </i>
    <i>
      <x v="23"/>
    </i>
    <i r="1">
      <x/>
      <x v="31"/>
    </i>
    <i r="1">
      <x v="1"/>
      <x v="37"/>
    </i>
    <i r="1">
      <x v="2"/>
      <x v="35"/>
    </i>
    <i r="1">
      <x v="3"/>
      <x/>
    </i>
    <i r="1">
      <x v="4"/>
      <x v="27"/>
    </i>
    <i r="1">
      <x v="5"/>
      <x v="40"/>
    </i>
    <i r="1">
      <x v="6"/>
      <x v="41"/>
    </i>
    <i r="1">
      <x v="7"/>
      <x v="32"/>
    </i>
    <i r="1">
      <x v="8"/>
      <x v="25"/>
    </i>
    <i r="1">
      <x v="9"/>
      <x v="1"/>
    </i>
    <i r="1">
      <x v="10"/>
      <x v="2"/>
    </i>
    <i r="1">
      <x v="11"/>
      <x v="24"/>
    </i>
    <i r="1">
      <x v="12"/>
      <x v="26"/>
    </i>
    <i r="1">
      <x v="13"/>
      <x v="30"/>
    </i>
    <i r="1">
      <x v="14"/>
      <x v="33"/>
    </i>
    <i r="1">
      <x v="15"/>
      <x v="45"/>
    </i>
    <i r="1">
      <x v="16"/>
      <x v="42"/>
    </i>
    <i r="1">
      <x v="17"/>
      <x v="38"/>
    </i>
    <i r="1">
      <x v="18"/>
      <x v="28"/>
    </i>
    <i r="1">
      <x v="19"/>
      <x v="22"/>
    </i>
    <i t="blank">
      <x v="23"/>
    </i>
    <i>
      <x v="24"/>
    </i>
    <i r="1">
      <x/>
      <x v="35"/>
    </i>
    <i r="1">
      <x v="1"/>
      <x v="37"/>
    </i>
    <i r="1">
      <x v="2"/>
      <x v="13"/>
    </i>
    <i r="1">
      <x v="3"/>
      <x/>
    </i>
    <i r="1">
      <x v="4"/>
      <x v="27"/>
    </i>
    <i r="1">
      <x v="5"/>
      <x v="23"/>
    </i>
    <i r="2">
      <x v="40"/>
    </i>
    <i r="1">
      <x v="7"/>
      <x v="26"/>
    </i>
    <i r="1">
      <x v="8"/>
      <x v="25"/>
    </i>
    <i r="1">
      <x v="9"/>
      <x v="1"/>
    </i>
    <i r="1">
      <x v="10"/>
      <x v="2"/>
    </i>
    <i r="1">
      <x v="11"/>
      <x v="31"/>
    </i>
    <i r="2">
      <x v="41"/>
    </i>
    <i r="1">
      <x v="13"/>
      <x v="24"/>
    </i>
    <i r="1">
      <x v="14"/>
      <x v="22"/>
    </i>
    <i r="1">
      <x v="15"/>
      <x v="44"/>
    </i>
    <i r="1">
      <x v="16"/>
      <x v="32"/>
    </i>
    <i r="1">
      <x v="17"/>
      <x v="15"/>
    </i>
    <i r="1">
      <x v="18"/>
      <x v="5"/>
    </i>
    <i r="1">
      <x v="19"/>
      <x v="21"/>
    </i>
    <i r="2">
      <x v="28"/>
    </i>
    <i r="2">
      <x v="33"/>
    </i>
    <i r="2">
      <x v="42"/>
    </i>
    <i t="blank">
      <x v="24"/>
    </i>
    <i>
      <x v="25"/>
    </i>
    <i r="1">
      <x/>
      <x v="35"/>
    </i>
    <i r="1">
      <x v="1"/>
      <x v="37"/>
    </i>
    <i r="1">
      <x v="2"/>
      <x v="31"/>
    </i>
    <i r="1">
      <x v="3"/>
      <x/>
    </i>
    <i r="1">
      <x v="4"/>
      <x v="40"/>
    </i>
    <i r="1">
      <x v="5"/>
      <x v="27"/>
    </i>
    <i r="1">
      <x v="6"/>
      <x v="2"/>
    </i>
    <i r="1">
      <x v="7"/>
      <x v="25"/>
    </i>
    <i r="1">
      <x v="8"/>
      <x v="1"/>
    </i>
    <i r="1">
      <x v="9"/>
      <x v="32"/>
    </i>
    <i r="1">
      <x v="10"/>
      <x v="26"/>
    </i>
    <i r="1">
      <x v="11"/>
      <x v="41"/>
    </i>
    <i r="1">
      <x v="12"/>
      <x v="24"/>
    </i>
    <i r="1">
      <x v="13"/>
      <x v="33"/>
    </i>
    <i r="1">
      <x v="14"/>
      <x v="38"/>
    </i>
    <i r="1">
      <x v="15"/>
      <x v="30"/>
    </i>
    <i r="1">
      <x v="16"/>
      <x v="21"/>
    </i>
    <i r="1">
      <x v="17"/>
      <x v="13"/>
    </i>
    <i r="1">
      <x v="18"/>
      <x v="36"/>
    </i>
    <i r="2">
      <x v="44"/>
    </i>
    <i t="blank">
      <x v="25"/>
    </i>
    <i>
      <x v="26"/>
    </i>
    <i r="1">
      <x/>
      <x v="37"/>
    </i>
    <i r="1">
      <x v="1"/>
      <x v="31"/>
    </i>
    <i r="2">
      <x v="35"/>
    </i>
    <i r="1">
      <x v="3"/>
      <x v="27"/>
    </i>
    <i r="1">
      <x v="4"/>
      <x/>
    </i>
    <i r="1">
      <x v="5"/>
      <x v="40"/>
    </i>
    <i r="1">
      <x v="6"/>
      <x v="26"/>
    </i>
    <i r="1">
      <x v="7"/>
      <x v="25"/>
    </i>
    <i r="1">
      <x v="8"/>
      <x v="41"/>
    </i>
    <i r="1">
      <x v="9"/>
      <x v="32"/>
    </i>
    <i r="1">
      <x v="10"/>
      <x v="2"/>
    </i>
    <i r="1">
      <x v="11"/>
      <x v="1"/>
    </i>
    <i r="1">
      <x v="12"/>
      <x v="24"/>
    </i>
    <i r="1">
      <x v="13"/>
      <x v="33"/>
    </i>
    <i r="2">
      <x v="38"/>
    </i>
    <i r="1">
      <x v="15"/>
      <x v="30"/>
    </i>
    <i r="1">
      <x v="16"/>
      <x v="42"/>
    </i>
    <i r="1">
      <x v="17"/>
      <x v="21"/>
    </i>
    <i r="2">
      <x v="23"/>
    </i>
    <i r="1">
      <x v="19"/>
      <x v="22"/>
    </i>
    <i t="blank">
      <x v="26"/>
    </i>
    <i>
      <x v="27"/>
    </i>
    <i r="1">
      <x/>
      <x v="13"/>
    </i>
    <i r="1">
      <x v="1"/>
      <x v="35"/>
    </i>
    <i r="1">
      <x v="2"/>
      <x v="37"/>
    </i>
    <i r="1">
      <x v="3"/>
      <x v="27"/>
    </i>
    <i r="1">
      <x v="4"/>
      <x/>
    </i>
    <i r="1">
      <x v="5"/>
      <x v="31"/>
    </i>
    <i r="1">
      <x v="6"/>
      <x v="26"/>
    </i>
    <i r="1">
      <x v="7"/>
      <x v="25"/>
    </i>
    <i r="1">
      <x v="8"/>
      <x v="1"/>
    </i>
    <i r="2">
      <x v="23"/>
    </i>
    <i r="1">
      <x v="10"/>
      <x v="40"/>
    </i>
    <i r="1">
      <x v="11"/>
      <x v="2"/>
    </i>
    <i r="1">
      <x v="12"/>
      <x v="17"/>
    </i>
    <i r="2">
      <x v="32"/>
    </i>
    <i r="2">
      <x v="33"/>
    </i>
    <i r="1">
      <x v="15"/>
      <x v="21"/>
    </i>
    <i r="2">
      <x v="41"/>
    </i>
    <i r="1">
      <x v="17"/>
      <x v="15"/>
    </i>
    <i r="2">
      <x v="24"/>
    </i>
    <i r="1">
      <x v="19"/>
      <x v="5"/>
    </i>
    <i t="blank">
      <x v="27"/>
    </i>
    <i>
      <x v="28"/>
    </i>
    <i r="1">
      <x/>
      <x v="37"/>
    </i>
    <i r="1">
      <x v="1"/>
      <x v="35"/>
    </i>
    <i r="1">
      <x v="2"/>
      <x v="31"/>
    </i>
    <i r="1">
      <x v="3"/>
      <x v="27"/>
    </i>
    <i r="1">
      <x v="4"/>
      <x/>
    </i>
    <i r="1">
      <x v="5"/>
      <x v="25"/>
    </i>
    <i r="2">
      <x v="32"/>
    </i>
    <i r="2">
      <x v="40"/>
    </i>
    <i r="1">
      <x v="8"/>
      <x v="26"/>
    </i>
    <i r="1">
      <x v="9"/>
      <x v="2"/>
    </i>
    <i r="1">
      <x v="10"/>
      <x v="41"/>
    </i>
    <i r="1">
      <x v="11"/>
      <x v="33"/>
    </i>
    <i r="1">
      <x v="12"/>
      <x v="1"/>
    </i>
    <i r="1">
      <x v="13"/>
      <x v="24"/>
    </i>
    <i r="2">
      <x v="42"/>
    </i>
    <i r="1">
      <x v="15"/>
      <x v="23"/>
    </i>
    <i r="1">
      <x v="16"/>
      <x v="21"/>
    </i>
    <i r="1">
      <x v="17"/>
      <x v="22"/>
    </i>
    <i r="1">
      <x v="18"/>
      <x v="38"/>
    </i>
    <i r="1">
      <x v="19"/>
      <x v="44"/>
    </i>
    <i t="blank">
      <x v="28"/>
    </i>
    <i>
      <x v="29"/>
    </i>
    <i r="1">
      <x/>
      <x/>
    </i>
    <i r="2">
      <x v="37"/>
    </i>
    <i r="1">
      <x v="2"/>
      <x v="27"/>
    </i>
    <i r="1">
      <x v="3"/>
      <x v="13"/>
    </i>
    <i r="1">
      <x v="4"/>
      <x v="15"/>
    </i>
    <i r="1">
      <x v="5"/>
      <x v="26"/>
    </i>
    <i r="2">
      <x v="35"/>
    </i>
    <i r="1">
      <x v="7"/>
      <x v="25"/>
    </i>
    <i r="1">
      <x v="8"/>
      <x v="1"/>
    </i>
    <i r="1">
      <x v="9"/>
      <x v="2"/>
    </i>
    <i r="2">
      <x v="14"/>
    </i>
    <i r="1">
      <x v="11"/>
      <x v="24"/>
    </i>
    <i r="1">
      <x v="12"/>
      <x v="40"/>
    </i>
    <i r="1">
      <x v="13"/>
      <x v="16"/>
    </i>
    <i r="1">
      <x v="14"/>
      <x v="31"/>
    </i>
    <i r="1">
      <x v="15"/>
      <x v="4"/>
    </i>
    <i r="2">
      <x v="8"/>
    </i>
    <i r="1">
      <x v="17"/>
      <x v="41"/>
    </i>
    <i r="1">
      <x v="18"/>
      <x v="33"/>
    </i>
    <i r="1">
      <x v="19"/>
      <x v="32"/>
    </i>
    <i t="blank">
      <x v="29"/>
    </i>
    <i>
      <x v="30"/>
    </i>
    <i r="1">
      <x/>
      <x v="35"/>
    </i>
    <i r="1">
      <x v="1"/>
      <x v="27"/>
    </i>
    <i r="1">
      <x v="2"/>
      <x/>
    </i>
    <i r="1">
      <x v="3"/>
      <x v="37"/>
    </i>
    <i r="1">
      <x v="4"/>
      <x v="25"/>
    </i>
    <i r="1">
      <x v="5"/>
      <x v="1"/>
    </i>
    <i r="1">
      <x v="6"/>
      <x v="31"/>
    </i>
    <i r="1">
      <x v="7"/>
      <x v="11"/>
    </i>
    <i r="1">
      <x v="8"/>
      <x v="26"/>
    </i>
    <i r="1">
      <x v="9"/>
      <x v="24"/>
    </i>
    <i r="1">
      <x v="10"/>
      <x v="40"/>
    </i>
    <i r="1">
      <x v="11"/>
      <x v="2"/>
    </i>
    <i r="1">
      <x v="12"/>
      <x v="42"/>
    </i>
    <i r="1">
      <x v="13"/>
      <x v="32"/>
    </i>
    <i r="1">
      <x v="14"/>
      <x v="41"/>
    </i>
    <i r="1">
      <x v="15"/>
      <x v="33"/>
    </i>
    <i r="1">
      <x v="16"/>
      <x v="30"/>
    </i>
    <i r="1">
      <x v="17"/>
      <x v="3"/>
    </i>
    <i r="1">
      <x v="18"/>
      <x v="13"/>
    </i>
    <i r="2">
      <x v="28"/>
    </i>
    <i r="2">
      <x v="38"/>
    </i>
    <i t="blank">
      <x v="30"/>
    </i>
    <i>
      <x v="31"/>
    </i>
    <i r="1">
      <x/>
      <x/>
    </i>
    <i r="2">
      <x v="27"/>
    </i>
    <i r="1">
      <x v="2"/>
      <x v="37"/>
    </i>
    <i r="1">
      <x v="3"/>
      <x v="35"/>
    </i>
    <i r="1">
      <x v="4"/>
      <x v="34"/>
    </i>
    <i r="1">
      <x v="5"/>
      <x v="25"/>
    </i>
    <i r="1">
      <x v="6"/>
      <x v="31"/>
    </i>
    <i r="1">
      <x v="7"/>
      <x v="1"/>
    </i>
    <i r="2">
      <x v="40"/>
    </i>
    <i r="1">
      <x v="9"/>
      <x v="26"/>
    </i>
    <i r="1">
      <x v="10"/>
      <x v="2"/>
    </i>
    <i r="1">
      <x v="11"/>
      <x v="24"/>
    </i>
    <i r="1">
      <x v="12"/>
      <x v="33"/>
    </i>
    <i r="1">
      <x v="13"/>
      <x v="13"/>
    </i>
    <i r="1">
      <x v="14"/>
      <x v="41"/>
    </i>
    <i r="1">
      <x v="15"/>
      <x v="4"/>
    </i>
    <i r="1">
      <x v="16"/>
      <x v="3"/>
    </i>
    <i r="1">
      <x v="17"/>
      <x v="11"/>
    </i>
    <i r="1">
      <x v="18"/>
      <x v="32"/>
    </i>
    <i r="2">
      <x v="44"/>
    </i>
    <i t="blank">
      <x v="31"/>
    </i>
    <i>
      <x v="32"/>
    </i>
    <i r="1">
      <x/>
      <x/>
    </i>
    <i r="1">
      <x v="1"/>
      <x v="37"/>
    </i>
    <i r="1">
      <x v="2"/>
      <x v="1"/>
    </i>
    <i r="1">
      <x v="3"/>
      <x v="27"/>
    </i>
    <i r="1">
      <x v="4"/>
      <x v="35"/>
    </i>
    <i r="1">
      <x v="5"/>
      <x v="25"/>
    </i>
    <i r="1">
      <x v="6"/>
      <x v="40"/>
    </i>
    <i r="1">
      <x v="7"/>
      <x v="2"/>
    </i>
    <i r="1">
      <x v="8"/>
      <x v="26"/>
    </i>
    <i r="1">
      <x v="9"/>
      <x v="31"/>
    </i>
    <i r="1">
      <x v="10"/>
      <x v="24"/>
    </i>
    <i r="1">
      <x v="11"/>
      <x v="32"/>
    </i>
    <i r="1">
      <x v="12"/>
      <x v="42"/>
    </i>
    <i r="1">
      <x v="13"/>
      <x v="4"/>
    </i>
    <i r="1">
      <x v="14"/>
      <x v="41"/>
    </i>
    <i r="1">
      <x v="15"/>
      <x v="17"/>
    </i>
    <i r="2">
      <x v="33"/>
    </i>
    <i r="1">
      <x v="17"/>
      <x v="38"/>
    </i>
    <i r="1">
      <x v="18"/>
      <x v="21"/>
    </i>
    <i r="1">
      <x v="19"/>
      <x v="6"/>
    </i>
    <i t="blank">
      <x v="32"/>
    </i>
    <i>
      <x v="33"/>
    </i>
    <i r="1">
      <x/>
      <x v="35"/>
    </i>
    <i r="1">
      <x v="1"/>
      <x v="37"/>
    </i>
    <i r="1">
      <x v="2"/>
      <x v="27"/>
    </i>
    <i r="1">
      <x v="3"/>
      <x v="25"/>
    </i>
    <i r="1">
      <x v="4"/>
      <x v="31"/>
    </i>
    <i r="1">
      <x v="5"/>
      <x/>
    </i>
    <i r="1">
      <x v="6"/>
      <x v="11"/>
    </i>
    <i r="1">
      <x v="7"/>
      <x v="40"/>
    </i>
    <i r="1">
      <x v="8"/>
      <x v="1"/>
    </i>
    <i r="1">
      <x v="9"/>
      <x v="26"/>
    </i>
    <i r="1">
      <x v="10"/>
      <x v="24"/>
    </i>
    <i r="1">
      <x v="11"/>
      <x v="3"/>
    </i>
    <i r="1">
      <x v="12"/>
      <x v="41"/>
    </i>
    <i r="1">
      <x v="13"/>
      <x v="44"/>
    </i>
    <i r="1">
      <x v="14"/>
      <x v="2"/>
    </i>
    <i r="2">
      <x v="21"/>
    </i>
    <i r="1">
      <x v="16"/>
      <x v="20"/>
    </i>
    <i r="1">
      <x v="17"/>
      <x v="33"/>
    </i>
    <i r="1">
      <x v="18"/>
      <x v="34"/>
    </i>
    <i r="1">
      <x v="19"/>
      <x v="23"/>
    </i>
    <i t="blank">
      <x v="33"/>
    </i>
    <i>
      <x v="34"/>
    </i>
    <i r="1">
      <x/>
      <x v="37"/>
    </i>
    <i r="1">
      <x v="1"/>
      <x v="35"/>
    </i>
    <i r="1">
      <x v="2"/>
      <x v="27"/>
    </i>
    <i r="1">
      <x v="3"/>
      <x/>
    </i>
    <i r="1">
      <x v="4"/>
      <x v="31"/>
    </i>
    <i r="1">
      <x v="5"/>
      <x v="40"/>
    </i>
    <i r="1">
      <x v="6"/>
      <x v="25"/>
    </i>
    <i r="1">
      <x v="7"/>
      <x v="1"/>
    </i>
    <i r="1">
      <x v="8"/>
      <x v="26"/>
    </i>
    <i r="1">
      <x v="9"/>
      <x v="24"/>
    </i>
    <i r="1">
      <x v="10"/>
      <x v="2"/>
    </i>
    <i r="1">
      <x v="11"/>
      <x v="42"/>
    </i>
    <i r="1">
      <x v="12"/>
      <x v="41"/>
    </i>
    <i r="1">
      <x v="13"/>
      <x v="33"/>
    </i>
    <i r="2">
      <x v="38"/>
    </i>
    <i r="1">
      <x v="15"/>
      <x v="13"/>
    </i>
    <i r="1">
      <x v="16"/>
      <x v="32"/>
    </i>
    <i r="1">
      <x v="17"/>
      <x v="44"/>
    </i>
    <i r="1">
      <x v="18"/>
      <x v="22"/>
    </i>
    <i r="1">
      <x v="19"/>
      <x v="45"/>
    </i>
    <i t="blank">
      <x v="34"/>
    </i>
    <i>
      <x v="35"/>
    </i>
    <i r="1">
      <x/>
      <x v="35"/>
    </i>
    <i r="1">
      <x v="1"/>
      <x v="27"/>
    </i>
    <i r="1">
      <x v="2"/>
      <x v="37"/>
    </i>
    <i r="1">
      <x v="3"/>
      <x v="25"/>
    </i>
    <i r="1">
      <x v="4"/>
      <x/>
    </i>
    <i r="1">
      <x v="5"/>
      <x v="3"/>
    </i>
    <i r="1">
      <x v="6"/>
      <x v="26"/>
    </i>
    <i r="1">
      <x v="7"/>
      <x v="1"/>
    </i>
    <i r="1">
      <x v="8"/>
      <x v="40"/>
    </i>
    <i r="1">
      <x v="9"/>
      <x v="41"/>
    </i>
    <i r="1">
      <x v="10"/>
      <x v="24"/>
    </i>
    <i r="2">
      <x v="31"/>
    </i>
    <i r="1">
      <x v="12"/>
      <x v="17"/>
    </i>
    <i r="1">
      <x v="13"/>
      <x v="2"/>
    </i>
    <i r="1">
      <x v="14"/>
      <x v="34"/>
    </i>
    <i r="1">
      <x v="15"/>
      <x v="20"/>
    </i>
    <i r="2">
      <x v="33"/>
    </i>
    <i r="1">
      <x v="17"/>
      <x v="32"/>
    </i>
    <i r="1">
      <x v="18"/>
      <x v="42"/>
    </i>
    <i r="2">
      <x v="44"/>
    </i>
    <i t="blank">
      <x v="35"/>
    </i>
    <i>
      <x v="36"/>
    </i>
    <i r="1">
      <x/>
      <x v="3"/>
    </i>
    <i r="1">
      <x v="1"/>
      <x/>
    </i>
    <i r="1">
      <x v="2"/>
      <x v="37"/>
    </i>
    <i r="1">
      <x v="3"/>
      <x v="27"/>
    </i>
    <i r="1">
      <x v="4"/>
      <x v="1"/>
    </i>
    <i r="1">
      <x v="5"/>
      <x v="35"/>
    </i>
    <i r="1">
      <x v="6"/>
      <x v="2"/>
    </i>
    <i r="1">
      <x v="7"/>
      <x v="25"/>
    </i>
    <i r="1">
      <x v="8"/>
      <x v="40"/>
    </i>
    <i r="1">
      <x v="9"/>
      <x v="24"/>
    </i>
    <i r="2">
      <x v="26"/>
    </i>
    <i r="1">
      <x v="11"/>
      <x v="41"/>
    </i>
    <i r="1">
      <x v="12"/>
      <x v="31"/>
    </i>
    <i r="2">
      <x v="32"/>
    </i>
    <i r="2">
      <x v="33"/>
    </i>
    <i r="1">
      <x v="15"/>
      <x v="5"/>
    </i>
    <i r="2">
      <x v="6"/>
    </i>
    <i r="1">
      <x v="17"/>
      <x v="21"/>
    </i>
    <i r="1">
      <x v="18"/>
      <x v="4"/>
    </i>
    <i r="2">
      <x v="38"/>
    </i>
    <i r="2">
      <x v="44"/>
    </i>
    <i t="blank">
      <x v="36"/>
    </i>
    <i>
      <x v="37"/>
    </i>
    <i r="1">
      <x/>
      <x v="35"/>
    </i>
    <i r="1">
      <x v="1"/>
      <x v="37"/>
    </i>
    <i r="1">
      <x v="2"/>
      <x/>
    </i>
    <i r="1">
      <x v="3"/>
      <x v="27"/>
    </i>
    <i r="1">
      <x v="4"/>
      <x v="26"/>
    </i>
    <i r="1">
      <x v="5"/>
      <x v="1"/>
    </i>
    <i r="1">
      <x v="6"/>
      <x v="31"/>
    </i>
    <i r="1">
      <x v="7"/>
      <x v="25"/>
    </i>
    <i r="1">
      <x v="8"/>
      <x v="17"/>
    </i>
    <i r="1">
      <x v="9"/>
      <x v="24"/>
    </i>
    <i r="1">
      <x v="10"/>
      <x v="40"/>
    </i>
    <i r="1">
      <x v="11"/>
      <x v="41"/>
    </i>
    <i r="1">
      <x v="12"/>
      <x v="2"/>
    </i>
    <i r="2">
      <x v="32"/>
    </i>
    <i r="1">
      <x v="14"/>
      <x v="13"/>
    </i>
    <i r="1">
      <x v="15"/>
      <x v="21"/>
    </i>
    <i r="2">
      <x v="33"/>
    </i>
    <i r="1">
      <x v="17"/>
      <x v="44"/>
    </i>
    <i r="1">
      <x v="18"/>
      <x v="4"/>
    </i>
    <i r="1">
      <x v="19"/>
      <x v="23"/>
    </i>
    <i r="2">
      <x v="30"/>
    </i>
    <i t="blank">
      <x v="37"/>
    </i>
    <i>
      <x v="38"/>
    </i>
    <i r="1">
      <x/>
      <x v="37"/>
    </i>
    <i r="1">
      <x v="1"/>
      <x/>
    </i>
    <i r="1">
      <x v="2"/>
      <x v="27"/>
    </i>
    <i r="1">
      <x v="3"/>
      <x v="35"/>
    </i>
    <i r="1">
      <x v="4"/>
      <x v="10"/>
    </i>
    <i r="1">
      <x v="5"/>
      <x v="3"/>
    </i>
    <i r="1">
      <x v="6"/>
      <x v="25"/>
    </i>
    <i r="1">
      <x v="7"/>
      <x v="40"/>
    </i>
    <i r="1">
      <x v="8"/>
      <x v="31"/>
    </i>
    <i r="1">
      <x v="9"/>
      <x v="1"/>
    </i>
    <i r="1">
      <x v="10"/>
      <x v="26"/>
    </i>
    <i r="1">
      <x v="11"/>
      <x v="2"/>
    </i>
    <i r="1">
      <x v="12"/>
      <x v="42"/>
    </i>
    <i r="1">
      <x v="13"/>
      <x v="24"/>
    </i>
    <i r="1">
      <x v="14"/>
      <x v="32"/>
    </i>
    <i r="1">
      <x v="15"/>
      <x v="41"/>
    </i>
    <i r="1">
      <x v="16"/>
      <x v="33"/>
    </i>
    <i r="1">
      <x v="17"/>
      <x v="13"/>
    </i>
    <i r="1">
      <x v="18"/>
      <x v="21"/>
    </i>
    <i r="1">
      <x v="19"/>
      <x v="20"/>
    </i>
    <i t="blank">
      <x v="38"/>
    </i>
    <i>
      <x v="39"/>
    </i>
    <i r="1">
      <x/>
      <x/>
    </i>
    <i r="1">
      <x v="1"/>
      <x v="35"/>
    </i>
    <i r="1">
      <x v="2"/>
      <x v="1"/>
    </i>
    <i r="1">
      <x v="3"/>
      <x v="37"/>
    </i>
    <i r="1">
      <x v="4"/>
      <x v="2"/>
    </i>
    <i r="1">
      <x v="5"/>
      <x v="40"/>
    </i>
    <i r="1">
      <x v="6"/>
      <x v="38"/>
    </i>
    <i r="1">
      <x v="7"/>
      <x v="32"/>
    </i>
    <i r="1">
      <x v="8"/>
      <x v="25"/>
    </i>
    <i r="1">
      <x v="9"/>
      <x v="27"/>
    </i>
    <i r="1">
      <x v="10"/>
      <x v="22"/>
    </i>
    <i r="1">
      <x v="11"/>
      <x v="26"/>
    </i>
    <i r="2">
      <x v="31"/>
    </i>
    <i r="2">
      <x v="33"/>
    </i>
    <i r="1">
      <x v="14"/>
      <x v="41"/>
    </i>
    <i r="2">
      <x v="45"/>
    </i>
    <i r="1">
      <x v="16"/>
      <x v="42"/>
    </i>
    <i r="1">
      <x v="17"/>
      <x v="21"/>
    </i>
    <i r="2">
      <x v="24"/>
    </i>
    <i r="2">
      <x v="43"/>
    </i>
    <i r="2">
      <x v="44"/>
    </i>
    <i t="blank">
      <x v="39"/>
    </i>
    <i>
      <x v="40"/>
    </i>
    <i r="1">
      <x/>
      <x v="4"/>
    </i>
    <i r="1">
      <x v="1"/>
      <x/>
    </i>
    <i r="1">
      <x v="2"/>
      <x v="37"/>
    </i>
    <i r="1">
      <x v="3"/>
      <x v="1"/>
    </i>
    <i r="1">
      <x v="4"/>
      <x v="27"/>
    </i>
    <i r="1">
      <x v="5"/>
      <x v="35"/>
    </i>
    <i r="1">
      <x v="6"/>
      <x v="2"/>
    </i>
    <i r="1">
      <x v="7"/>
      <x v="26"/>
    </i>
    <i r="1">
      <x v="8"/>
      <x v="25"/>
    </i>
    <i r="1">
      <x v="9"/>
      <x v="13"/>
    </i>
    <i r="1">
      <x v="10"/>
      <x v="24"/>
    </i>
    <i r="1">
      <x v="11"/>
      <x v="15"/>
    </i>
    <i r="1">
      <x v="12"/>
      <x v="32"/>
    </i>
    <i r="2">
      <x v="33"/>
    </i>
    <i r="2">
      <x v="40"/>
    </i>
    <i r="2">
      <x v="44"/>
    </i>
    <i r="1">
      <x v="16"/>
      <x v="42"/>
    </i>
    <i r="1">
      <x v="17"/>
      <x v="3"/>
    </i>
    <i r="2">
      <x v="41"/>
    </i>
    <i r="1">
      <x v="19"/>
      <x v="8"/>
    </i>
    <i r="2">
      <x v="17"/>
    </i>
    <i t="blank">
      <x v="40"/>
    </i>
    <i>
      <x v="41"/>
    </i>
    <i r="1">
      <x/>
      <x/>
    </i>
    <i r="1">
      <x v="1"/>
      <x v="37"/>
    </i>
    <i r="1">
      <x v="2"/>
      <x v="35"/>
    </i>
    <i r="1">
      <x v="3"/>
      <x v="13"/>
    </i>
    <i r="1">
      <x v="4"/>
      <x v="1"/>
    </i>
    <i r="1">
      <x v="5"/>
      <x v="31"/>
    </i>
    <i r="1">
      <x v="6"/>
      <x v="27"/>
    </i>
    <i r="1">
      <x v="7"/>
      <x v="2"/>
    </i>
    <i r="1">
      <x v="8"/>
      <x v="26"/>
    </i>
    <i r="2">
      <x v="40"/>
    </i>
    <i r="1">
      <x v="10"/>
      <x v="25"/>
    </i>
    <i r="2">
      <x v="44"/>
    </i>
    <i r="1">
      <x v="12"/>
      <x v="15"/>
    </i>
    <i r="1">
      <x v="13"/>
      <x v="33"/>
    </i>
    <i r="1">
      <x v="14"/>
      <x v="32"/>
    </i>
    <i r="2">
      <x v="41"/>
    </i>
    <i r="1">
      <x v="16"/>
      <x v="21"/>
    </i>
    <i r="1">
      <x v="17"/>
      <x v="12"/>
    </i>
    <i r="2">
      <x v="42"/>
    </i>
    <i r="1">
      <x v="19"/>
      <x v="14"/>
    </i>
    <i r="2">
      <x v="16"/>
    </i>
    <i r="2">
      <x v="22"/>
    </i>
    <i t="blank">
      <x v="41"/>
    </i>
    <i>
      <x v="42"/>
    </i>
    <i r="1">
      <x/>
      <x v="37"/>
    </i>
    <i r="1">
      <x v="1"/>
      <x v="35"/>
    </i>
    <i r="1">
      <x v="2"/>
      <x/>
    </i>
    <i r="1">
      <x v="3"/>
      <x v="40"/>
    </i>
    <i r="1">
      <x v="4"/>
      <x v="27"/>
    </i>
    <i r="2">
      <x v="31"/>
    </i>
    <i r="1">
      <x v="6"/>
      <x v="2"/>
    </i>
    <i r="1">
      <x v="7"/>
      <x v="1"/>
    </i>
    <i r="1">
      <x v="8"/>
      <x v="26"/>
    </i>
    <i r="2">
      <x v="41"/>
    </i>
    <i r="1">
      <x v="10"/>
      <x v="30"/>
    </i>
    <i r="2">
      <x v="32"/>
    </i>
    <i r="1">
      <x v="12"/>
      <x v="25"/>
    </i>
    <i r="2">
      <x v="38"/>
    </i>
    <i r="1">
      <x v="14"/>
      <x v="42"/>
    </i>
    <i r="1">
      <x v="15"/>
      <x v="13"/>
    </i>
    <i r="1">
      <x v="16"/>
      <x v="21"/>
    </i>
    <i r="1">
      <x v="17"/>
      <x v="15"/>
    </i>
    <i r="1">
      <x v="18"/>
      <x v="16"/>
    </i>
    <i r="2">
      <x v="23"/>
    </i>
    <i t="blank">
      <x v="42"/>
    </i>
    <i>
      <x v="43"/>
    </i>
    <i r="1">
      <x/>
      <x/>
    </i>
    <i r="1">
      <x v="1"/>
      <x v="37"/>
    </i>
    <i r="1">
      <x v="2"/>
      <x v="27"/>
    </i>
    <i r="1">
      <x v="3"/>
      <x v="1"/>
    </i>
    <i r="1">
      <x v="4"/>
      <x v="35"/>
    </i>
    <i r="1">
      <x v="5"/>
      <x v="17"/>
    </i>
    <i r="1">
      <x v="6"/>
      <x v="2"/>
    </i>
    <i r="2">
      <x v="25"/>
    </i>
    <i r="1">
      <x v="8"/>
      <x v="40"/>
    </i>
    <i r="1">
      <x v="9"/>
      <x v="13"/>
    </i>
    <i r="2">
      <x v="16"/>
    </i>
    <i r="2">
      <x v="26"/>
    </i>
    <i r="1">
      <x v="12"/>
      <x v="33"/>
    </i>
    <i r="2">
      <x v="41"/>
    </i>
    <i r="1">
      <x v="14"/>
      <x v="24"/>
    </i>
    <i r="2">
      <x v="44"/>
    </i>
    <i r="1">
      <x v="16"/>
      <x v="8"/>
    </i>
    <i r="2">
      <x v="15"/>
    </i>
    <i r="1">
      <x v="18"/>
      <x v="6"/>
    </i>
    <i r="1">
      <x v="19"/>
      <x v="5"/>
    </i>
    <i r="2">
      <x v="31"/>
    </i>
    <i r="2">
      <x v="32"/>
    </i>
    <i t="blank">
      <x v="43"/>
    </i>
    <i>
      <x v="44"/>
    </i>
    <i r="1">
      <x/>
      <x v="37"/>
    </i>
    <i r="1">
      <x v="1"/>
      <x/>
    </i>
    <i r="1">
      <x v="2"/>
      <x v="27"/>
    </i>
    <i r="1">
      <x v="3"/>
      <x v="35"/>
    </i>
    <i r="1">
      <x v="4"/>
      <x v="40"/>
    </i>
    <i r="1">
      <x v="5"/>
      <x v="31"/>
    </i>
    <i r="1">
      <x v="6"/>
      <x v="26"/>
    </i>
    <i r="1">
      <x v="7"/>
      <x v="1"/>
    </i>
    <i r="2">
      <x v="13"/>
    </i>
    <i r="2">
      <x v="25"/>
    </i>
    <i r="1">
      <x v="10"/>
      <x v="41"/>
    </i>
    <i r="1">
      <x v="11"/>
      <x v="2"/>
    </i>
    <i r="1">
      <x v="12"/>
      <x v="24"/>
    </i>
    <i r="2">
      <x v="28"/>
    </i>
    <i r="1">
      <x v="14"/>
      <x v="17"/>
    </i>
    <i r="2">
      <x v="33"/>
    </i>
    <i r="1">
      <x v="16"/>
      <x v="44"/>
    </i>
    <i r="1">
      <x v="17"/>
      <x v="22"/>
    </i>
    <i r="2">
      <x v="45"/>
    </i>
    <i r="1">
      <x v="19"/>
      <x v="16"/>
    </i>
    <i r="2">
      <x v="20"/>
    </i>
    <i r="2">
      <x v="23"/>
    </i>
    <i r="2">
      <x v="30"/>
    </i>
    <i r="2">
      <x v="32"/>
    </i>
    <i r="2">
      <x v="38"/>
    </i>
    <i t="blank">
      <x v="44"/>
    </i>
    <i>
      <x v="45"/>
    </i>
    <i r="1">
      <x/>
      <x v="35"/>
    </i>
    <i r="1">
      <x v="1"/>
      <x/>
    </i>
    <i r="1">
      <x v="2"/>
      <x v="37"/>
    </i>
    <i r="1">
      <x v="3"/>
      <x v="1"/>
    </i>
    <i r="1">
      <x v="4"/>
      <x v="25"/>
    </i>
    <i r="2">
      <x v="27"/>
    </i>
    <i r="1">
      <x v="6"/>
      <x v="26"/>
    </i>
    <i r="2">
      <x v="40"/>
    </i>
    <i r="2">
      <x v="44"/>
    </i>
    <i r="1">
      <x v="9"/>
      <x v="2"/>
    </i>
    <i r="1">
      <x v="10"/>
      <x v="24"/>
    </i>
    <i r="1">
      <x v="11"/>
      <x v="33"/>
    </i>
    <i r="1">
      <x v="12"/>
      <x v="31"/>
    </i>
    <i r="2">
      <x v="41"/>
    </i>
    <i r="1">
      <x v="14"/>
      <x v="5"/>
    </i>
    <i r="1">
      <x v="15"/>
      <x v="4"/>
    </i>
    <i r="2">
      <x v="6"/>
    </i>
    <i r="2">
      <x v="13"/>
    </i>
    <i r="2">
      <x v="22"/>
    </i>
    <i r="2">
      <x v="38"/>
    </i>
    <i r="2">
      <x v="42"/>
    </i>
    <i r="2">
      <x v="45"/>
    </i>
    <i t="blank">
      <x v="45"/>
    </i>
    <i>
      <x v="46"/>
    </i>
    <i r="1">
      <x/>
      <x v="37"/>
    </i>
    <i r="1">
      <x v="1"/>
      <x v="35"/>
    </i>
    <i r="1">
      <x v="2"/>
      <x v="40"/>
    </i>
    <i r="1">
      <x v="3"/>
      <x/>
    </i>
    <i r="1">
      <x v="4"/>
      <x v="31"/>
    </i>
    <i r="1">
      <x v="5"/>
      <x v="2"/>
    </i>
    <i r="1">
      <x v="6"/>
      <x v="1"/>
    </i>
    <i r="1">
      <x v="7"/>
      <x v="27"/>
    </i>
    <i r="1">
      <x v="8"/>
      <x v="26"/>
    </i>
    <i r="1">
      <x v="9"/>
      <x v="25"/>
    </i>
    <i r="1">
      <x v="10"/>
      <x v="32"/>
    </i>
    <i r="2">
      <x v="41"/>
    </i>
    <i r="1">
      <x v="12"/>
      <x v="24"/>
    </i>
    <i r="1">
      <x v="13"/>
      <x v="30"/>
    </i>
    <i r="2">
      <x v="42"/>
    </i>
    <i r="1">
      <x v="15"/>
      <x v="44"/>
    </i>
    <i r="1">
      <x v="16"/>
      <x v="3"/>
    </i>
    <i r="2">
      <x v="33"/>
    </i>
    <i r="2">
      <x v="38"/>
    </i>
    <i r="1">
      <x v="19"/>
      <x v="10"/>
    </i>
    <i r="2">
      <x v="13"/>
    </i>
    <i t="blank">
      <x v="46"/>
    </i>
    <i>
      <x v="47"/>
    </i>
    <i r="1">
      <x/>
      <x v="27"/>
    </i>
    <i r="1">
      <x v="1"/>
      <x v="37"/>
    </i>
    <i r="1">
      <x v="2"/>
      <x/>
    </i>
    <i r="1">
      <x v="3"/>
      <x v="31"/>
    </i>
    <i r="1">
      <x v="4"/>
      <x v="40"/>
    </i>
    <i r="1">
      <x v="5"/>
      <x v="35"/>
    </i>
    <i r="1">
      <x v="6"/>
      <x v="2"/>
    </i>
    <i r="2">
      <x v="25"/>
    </i>
    <i r="1">
      <x v="8"/>
      <x v="1"/>
    </i>
    <i r="2">
      <x v="26"/>
    </i>
    <i r="1">
      <x v="10"/>
      <x v="38"/>
    </i>
    <i r="1">
      <x v="11"/>
      <x v="33"/>
    </i>
    <i r="2">
      <x v="41"/>
    </i>
    <i r="1">
      <x v="13"/>
      <x v="42"/>
    </i>
    <i r="1">
      <x v="14"/>
      <x v="21"/>
    </i>
    <i r="2">
      <x v="24"/>
    </i>
    <i r="1">
      <x v="16"/>
      <x v="30"/>
    </i>
    <i r="1">
      <x v="17"/>
      <x v="6"/>
    </i>
    <i r="2">
      <x v="20"/>
    </i>
    <i r="2">
      <x v="23"/>
    </i>
    <i r="2">
      <x v="32"/>
    </i>
    <i t="blank">
      <x v="47"/>
    </i>
    <i>
      <x v="48"/>
    </i>
    <i r="1">
      <x/>
      <x/>
    </i>
    <i r="1">
      <x v="1"/>
      <x v="37"/>
    </i>
    <i r="1">
      <x v="2"/>
      <x v="35"/>
    </i>
    <i r="1">
      <x v="3"/>
      <x v="25"/>
    </i>
    <i r="1">
      <x v="4"/>
      <x v="27"/>
    </i>
    <i r="1">
      <x v="5"/>
      <x v="1"/>
    </i>
    <i r="1">
      <x v="6"/>
      <x v="26"/>
    </i>
    <i r="1">
      <x v="7"/>
      <x v="2"/>
    </i>
    <i r="1">
      <x v="8"/>
      <x v="3"/>
    </i>
    <i r="1">
      <x v="9"/>
      <x v="33"/>
    </i>
    <i r="1">
      <x v="10"/>
      <x v="40"/>
    </i>
    <i r="2">
      <x v="44"/>
    </i>
    <i r="1">
      <x v="12"/>
      <x v="42"/>
    </i>
    <i r="1">
      <x v="13"/>
      <x v="24"/>
    </i>
    <i r="1">
      <x v="14"/>
      <x v="28"/>
    </i>
    <i r="2">
      <x v="31"/>
    </i>
    <i r="1">
      <x v="16"/>
      <x v="23"/>
    </i>
    <i r="2">
      <x v="41"/>
    </i>
    <i r="1">
      <x v="18"/>
      <x v="29"/>
    </i>
    <i r="2">
      <x v="32"/>
    </i>
    <i r="2">
      <x v="34"/>
    </i>
    <i t="blank">
      <x v="48"/>
    </i>
    <i>
      <x v="49"/>
    </i>
    <i r="1">
      <x/>
      <x v="34"/>
    </i>
    <i r="1">
      <x v="1"/>
      <x v="25"/>
    </i>
    <i r="1">
      <x v="2"/>
      <x v="27"/>
    </i>
    <i r="1">
      <x v="3"/>
      <x/>
    </i>
    <i r="1">
      <x v="4"/>
      <x v="37"/>
    </i>
    <i r="1">
      <x v="5"/>
      <x v="3"/>
    </i>
    <i r="1">
      <x v="6"/>
      <x v="35"/>
    </i>
    <i r="1">
      <x v="7"/>
      <x v="40"/>
    </i>
    <i r="1">
      <x v="8"/>
      <x v="1"/>
    </i>
    <i r="1">
      <x v="9"/>
      <x v="2"/>
    </i>
    <i r="1">
      <x v="10"/>
      <x v="26"/>
    </i>
    <i r="1">
      <x v="11"/>
      <x v="42"/>
    </i>
    <i r="1">
      <x v="12"/>
      <x v="41"/>
    </i>
    <i r="1">
      <x v="13"/>
      <x v="24"/>
    </i>
    <i r="1">
      <x v="14"/>
      <x v="31"/>
    </i>
    <i r="2">
      <x v="33"/>
    </i>
    <i r="1">
      <x v="16"/>
      <x v="20"/>
    </i>
    <i r="1">
      <x v="17"/>
      <x v="32"/>
    </i>
    <i r="1">
      <x v="18"/>
      <x v="39"/>
    </i>
    <i r="2">
      <x v="44"/>
    </i>
    <i t="blank">
      <x v="49"/>
    </i>
    <i>
      <x v="50"/>
    </i>
    <i r="1">
      <x/>
      <x v="35"/>
    </i>
    <i r="1">
      <x v="1"/>
      <x/>
    </i>
    <i r="1">
      <x v="2"/>
      <x v="37"/>
    </i>
    <i r="1">
      <x v="3"/>
      <x v="27"/>
    </i>
    <i r="1">
      <x v="4"/>
      <x v="25"/>
    </i>
    <i r="1">
      <x v="5"/>
      <x v="1"/>
    </i>
    <i r="1">
      <x v="6"/>
      <x v="34"/>
    </i>
    <i r="1">
      <x v="7"/>
      <x v="26"/>
    </i>
    <i r="1">
      <x v="8"/>
      <x v="2"/>
    </i>
    <i r="1">
      <x v="9"/>
      <x v="31"/>
    </i>
    <i r="2">
      <x v="41"/>
    </i>
    <i r="1">
      <x v="11"/>
      <x v="3"/>
    </i>
    <i r="2">
      <x v="40"/>
    </i>
    <i r="2">
      <x v="42"/>
    </i>
    <i r="1">
      <x v="14"/>
      <x v="20"/>
    </i>
    <i r="1">
      <x v="15"/>
      <x v="32"/>
    </i>
    <i r="2">
      <x v="33"/>
    </i>
    <i r="2">
      <x v="44"/>
    </i>
    <i r="1">
      <x v="18"/>
      <x v="24"/>
    </i>
    <i r="1">
      <x v="19"/>
      <x v="28"/>
    </i>
    <i r="2">
      <x v="39"/>
    </i>
    <i t="blank">
      <x v="5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747">
      <pivotArea field="2" type="button" dataOnly="0" labelOnly="1" outline="0" axis="axisRow" fieldPosition="0"/>
    </format>
    <format dxfId="746">
      <pivotArea outline="0" fieldPosition="0">
        <references count="1">
          <reference field="4294967294" count="1">
            <x v="0"/>
          </reference>
        </references>
      </pivotArea>
    </format>
    <format dxfId="745">
      <pivotArea outline="0" fieldPosition="0">
        <references count="1">
          <reference field="4294967294" count="1">
            <x v="1"/>
          </reference>
        </references>
      </pivotArea>
    </format>
    <format dxfId="744">
      <pivotArea outline="0" fieldPosition="0">
        <references count="1">
          <reference field="4294967294" count="1">
            <x v="2"/>
          </reference>
        </references>
      </pivotArea>
    </format>
    <format dxfId="743">
      <pivotArea outline="0" fieldPosition="0">
        <references count="1">
          <reference field="4294967294" count="1">
            <x v="3"/>
          </reference>
        </references>
      </pivotArea>
    </format>
    <format dxfId="742">
      <pivotArea outline="0" fieldPosition="0">
        <references count="1">
          <reference field="4294967294" count="1">
            <x v="4"/>
          </reference>
        </references>
      </pivotArea>
    </format>
    <format dxfId="741">
      <pivotArea outline="0" fieldPosition="0">
        <references count="1">
          <reference field="4294967294" count="1">
            <x v="5"/>
          </reference>
        </references>
      </pivotArea>
    </format>
    <format dxfId="740">
      <pivotArea outline="0" fieldPosition="0">
        <references count="1">
          <reference field="4294967294" count="1">
            <x v="6"/>
          </reference>
        </references>
      </pivotArea>
    </format>
    <format dxfId="739">
      <pivotArea field="2" type="button" dataOnly="0" labelOnly="1" outline="0" axis="axisRow" fieldPosition="0"/>
    </format>
    <format dxfId="7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7">
      <pivotArea field="2" type="button" dataOnly="0" labelOnly="1" outline="0" axis="axisRow" fieldPosition="0"/>
    </format>
    <format dxfId="7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5">
      <pivotArea field="2" type="button" dataOnly="0" labelOnly="1" outline="0" axis="axisRow" fieldPosition="0"/>
    </format>
    <format dxfId="7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C56B96-82B7-42B2-89B4-B0DC5FBFA8D4}" name="pvt_S" cacheId="2211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174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51">
        <item x="38"/>
        <item x="16"/>
        <item x="17"/>
        <item x="41"/>
        <item x="42"/>
        <item x="20"/>
        <item x="29"/>
        <item x="37"/>
        <item x="25"/>
        <item x="48"/>
        <item x="28"/>
        <item x="24"/>
        <item x="36"/>
        <item x="15"/>
        <item x="27"/>
        <item x="1"/>
        <item x="6"/>
        <item x="7"/>
        <item x="10"/>
        <item x="9"/>
        <item x="5"/>
        <item x="2"/>
        <item x="3"/>
        <item x="4"/>
        <item x="8"/>
        <item x="43"/>
        <item x="45"/>
        <item x="44"/>
        <item x="14"/>
        <item x="22"/>
        <item x="47"/>
        <item x="21"/>
        <item x="26"/>
        <item x="39"/>
        <item x="18"/>
        <item x="40"/>
        <item x="32"/>
        <item x="30"/>
        <item x="35"/>
        <item x="34"/>
        <item x="33"/>
        <item x="12"/>
        <item x="49"/>
        <item x="50"/>
        <item x="11"/>
        <item x="0"/>
        <item x="23"/>
        <item x="19"/>
        <item x="13"/>
        <item x="46"/>
        <item x="31"/>
      </items>
    </pivotField>
    <pivotField axis="axisRow" showAll="0" insertBlankRow="1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90">
        <item x="10"/>
        <item x="16"/>
        <item x="49"/>
        <item x="29"/>
        <item x="68"/>
        <item x="65"/>
        <item x="66"/>
        <item x="17"/>
        <item x="37"/>
        <item x="46"/>
        <item x="72"/>
        <item x="71"/>
        <item x="81"/>
        <item x="51"/>
        <item x="53"/>
        <item x="52"/>
        <item x="85"/>
        <item x="31"/>
        <item x="62"/>
        <item x="33"/>
        <item x="77"/>
        <item x="34"/>
        <item x="35"/>
        <item x="48"/>
        <item x="69"/>
        <item x="63"/>
        <item x="82"/>
        <item x="56"/>
        <item x="43"/>
        <item x="60"/>
        <item x="61"/>
        <item x="36"/>
        <item x="59"/>
        <item x="75"/>
        <item x="57"/>
        <item x="73"/>
        <item x="32"/>
        <item x="89"/>
        <item x="70"/>
        <item x="80"/>
        <item x="41"/>
        <item x="76"/>
        <item x="15"/>
        <item x="40"/>
        <item x="88"/>
        <item x="30"/>
        <item x="28"/>
        <item x="13"/>
        <item x="11"/>
        <item x="54"/>
        <item x="67"/>
        <item x="64"/>
        <item x="19"/>
        <item x="50"/>
        <item x="8"/>
        <item x="55"/>
        <item x="83"/>
        <item x="14"/>
        <item x="12"/>
        <item x="1"/>
        <item x="24"/>
        <item x="21"/>
        <item x="39"/>
        <item x="58"/>
        <item x="38"/>
        <item x="26"/>
        <item x="25"/>
        <item x="20"/>
        <item x="47"/>
        <item x="74"/>
        <item x="3"/>
        <item x="87"/>
        <item x="7"/>
        <item x="9"/>
        <item x="2"/>
        <item x="22"/>
        <item x="23"/>
        <item x="6"/>
        <item x="0"/>
        <item x="44"/>
        <item x="84"/>
        <item x="79"/>
        <item x="86"/>
        <item x="18"/>
        <item x="4"/>
        <item x="45"/>
        <item x="5"/>
        <item x="78"/>
        <item x="42"/>
        <item x="27"/>
      </items>
    </pivotField>
    <pivotField showAll="0" defaultSubtotal="0">
      <items count="90">
        <item x="48"/>
        <item x="75"/>
        <item x="33"/>
        <item x="64"/>
        <item x="22"/>
        <item x="13"/>
        <item x="40"/>
        <item x="66"/>
        <item x="71"/>
        <item x="36"/>
        <item x="25"/>
        <item x="44"/>
        <item x="52"/>
        <item x="82"/>
        <item x="87"/>
        <item x="77"/>
        <item x="9"/>
        <item x="57"/>
        <item x="19"/>
        <item x="61"/>
        <item x="31"/>
        <item x="67"/>
        <item x="28"/>
        <item x="35"/>
        <item x="34"/>
        <item x="18"/>
        <item x="37"/>
        <item x="54"/>
        <item x="46"/>
        <item x="2"/>
        <item x="4"/>
        <item x="60"/>
        <item x="26"/>
        <item x="43"/>
        <item x="69"/>
        <item x="29"/>
        <item x="16"/>
        <item x="70"/>
        <item x="83"/>
        <item x="76"/>
        <item x="58"/>
        <item x="38"/>
        <item x="62"/>
        <item x="53"/>
        <item x="65"/>
        <item x="80"/>
        <item x="45"/>
        <item x="78"/>
        <item x="59"/>
        <item x="11"/>
        <item x="42"/>
        <item x="86"/>
        <item x="30"/>
        <item x="7"/>
        <item x="51"/>
        <item x="74"/>
        <item x="89"/>
        <item x="72"/>
        <item x="85"/>
        <item x="81"/>
        <item x="3"/>
        <item x="23"/>
        <item x="88"/>
        <item x="41"/>
        <item x="27"/>
        <item x="8"/>
        <item x="79"/>
        <item x="73"/>
        <item x="1"/>
        <item x="68"/>
        <item x="24"/>
        <item x="55"/>
        <item x="17"/>
        <item x="20"/>
        <item x="10"/>
        <item x="63"/>
        <item x="50"/>
        <item x="32"/>
        <item x="0"/>
        <item x="21"/>
        <item x="14"/>
        <item x="12"/>
        <item x="15"/>
        <item x="84"/>
        <item x="39"/>
        <item x="49"/>
        <item x="56"/>
        <item x="6"/>
        <item x="47"/>
        <item x="5"/>
      </items>
    </pivotField>
    <pivotField axis="axisRow" showAll="0" defaultSubtotal="0">
      <items count="90">
        <item x="10"/>
        <item x="16"/>
        <item x="49"/>
        <item x="29"/>
        <item x="68"/>
        <item x="65"/>
        <item x="66"/>
        <item x="17"/>
        <item x="37"/>
        <item x="46"/>
        <item x="72"/>
        <item x="71"/>
        <item x="81"/>
        <item x="51"/>
        <item x="53"/>
        <item x="52"/>
        <item x="85"/>
        <item x="31"/>
        <item x="62"/>
        <item x="33"/>
        <item x="77"/>
        <item x="34"/>
        <item x="35"/>
        <item x="48"/>
        <item x="69"/>
        <item x="63"/>
        <item x="82"/>
        <item x="56"/>
        <item x="43"/>
        <item x="60"/>
        <item x="61"/>
        <item x="36"/>
        <item x="59"/>
        <item x="75"/>
        <item x="57"/>
        <item x="73"/>
        <item x="32"/>
        <item x="89"/>
        <item x="70"/>
        <item x="80"/>
        <item x="41"/>
        <item x="76"/>
        <item x="15"/>
        <item x="40"/>
        <item x="88"/>
        <item x="30"/>
        <item x="28"/>
        <item x="13"/>
        <item x="11"/>
        <item x="54"/>
        <item x="67"/>
        <item x="64"/>
        <item x="19"/>
        <item x="50"/>
        <item x="8"/>
        <item x="55"/>
        <item x="83"/>
        <item x="14"/>
        <item x="12"/>
        <item x="1"/>
        <item x="24"/>
        <item x="21"/>
        <item x="39"/>
        <item x="58"/>
        <item x="38"/>
        <item x="26"/>
        <item x="25"/>
        <item x="20"/>
        <item x="47"/>
        <item x="74"/>
        <item x="3"/>
        <item x="87"/>
        <item x="7"/>
        <item x="9"/>
        <item x="2"/>
        <item x="22"/>
        <item x="23"/>
        <item x="6"/>
        <item x="0"/>
        <item x="44"/>
        <item x="84"/>
        <item x="79"/>
        <item x="86"/>
        <item x="18"/>
        <item x="4"/>
        <item x="45"/>
        <item x="5"/>
        <item x="78"/>
        <item x="42"/>
        <item x="2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32">
        <item x="231"/>
        <item x="230"/>
        <item x="229"/>
        <item x="228"/>
        <item x="227"/>
        <item x="226"/>
        <item x="209"/>
        <item x="208"/>
        <item x="207"/>
        <item x="225"/>
        <item x="224"/>
        <item x="206"/>
        <item x="205"/>
        <item x="204"/>
        <item x="203"/>
        <item x="202"/>
        <item x="218"/>
        <item x="199"/>
        <item x="198"/>
        <item x="197"/>
        <item x="196"/>
        <item x="195"/>
        <item x="194"/>
        <item x="193"/>
        <item x="219"/>
        <item x="192"/>
        <item x="191"/>
        <item x="101"/>
        <item x="100"/>
        <item x="99"/>
        <item x="190"/>
        <item x="113"/>
        <item x="112"/>
        <item x="189"/>
        <item x="93"/>
        <item x="69"/>
        <item x="68"/>
        <item x="92"/>
        <item x="67"/>
        <item x="83"/>
        <item x="107"/>
        <item x="66"/>
        <item x="65"/>
        <item x="82"/>
        <item x="81"/>
        <item x="55"/>
        <item x="91"/>
        <item x="54"/>
        <item x="80"/>
        <item x="98"/>
        <item x="79"/>
        <item x="53"/>
        <item x="52"/>
        <item x="106"/>
        <item x="97"/>
        <item x="51"/>
        <item x="78"/>
        <item x="111"/>
        <item x="50"/>
        <item x="135"/>
        <item x="134"/>
        <item x="110"/>
        <item x="49"/>
        <item x="90"/>
        <item x="89"/>
        <item x="64"/>
        <item x="48"/>
        <item x="63"/>
        <item x="62"/>
        <item x="88"/>
        <item x="105"/>
        <item x="61"/>
        <item x="77"/>
        <item x="96"/>
        <item x="76"/>
        <item x="47"/>
        <item x="104"/>
        <item x="46"/>
        <item x="223"/>
        <item x="133"/>
        <item x="201"/>
        <item x="175"/>
        <item x="60"/>
        <item x="174"/>
        <item x="173"/>
        <item x="45"/>
        <item x="217"/>
        <item x="103"/>
        <item x="44"/>
        <item x="95"/>
        <item x="75"/>
        <item x="59"/>
        <item x="211"/>
        <item x="109"/>
        <item x="222"/>
        <item x="74"/>
        <item x="188"/>
        <item x="221"/>
        <item x="73"/>
        <item x="187"/>
        <item x="216"/>
        <item x="186"/>
        <item x="87"/>
        <item x="86"/>
        <item x="94"/>
        <item x="210"/>
        <item x="85"/>
        <item x="58"/>
        <item x="215"/>
        <item x="185"/>
        <item x="43"/>
        <item x="72"/>
        <item x="184"/>
        <item x="131"/>
        <item x="130"/>
        <item x="169"/>
        <item x="168"/>
        <item x="172"/>
        <item x="84"/>
        <item x="183"/>
        <item x="129"/>
        <item x="42"/>
        <item x="214"/>
        <item x="167"/>
        <item x="108"/>
        <item x="171"/>
        <item x="71"/>
        <item x="170"/>
        <item x="166"/>
        <item x="128"/>
        <item x="182"/>
        <item x="200"/>
        <item x="57"/>
        <item x="102"/>
        <item x="132"/>
        <item x="127"/>
        <item x="181"/>
        <item x="56"/>
        <item x="165"/>
        <item x="164"/>
        <item x="153"/>
        <item x="152"/>
        <item x="151"/>
        <item x="213"/>
        <item x="126"/>
        <item x="41"/>
        <item x="150"/>
        <item x="149"/>
        <item x="70"/>
        <item x="180"/>
        <item x="148"/>
        <item x="147"/>
        <item x="220"/>
        <item x="179"/>
        <item x="125"/>
        <item x="163"/>
        <item x="146"/>
        <item x="162"/>
        <item x="124"/>
        <item x="161"/>
        <item x="160"/>
        <item x="123"/>
        <item x="159"/>
        <item x="122"/>
        <item x="121"/>
        <item x="40"/>
        <item x="145"/>
        <item x="120"/>
        <item x="119"/>
        <item x="118"/>
        <item x="144"/>
        <item x="143"/>
        <item x="142"/>
        <item x="141"/>
        <item x="158"/>
        <item x="212"/>
        <item x="157"/>
        <item x="178"/>
        <item x="140"/>
        <item x="139"/>
        <item x="117"/>
        <item x="138"/>
        <item x="156"/>
        <item x="137"/>
        <item x="39"/>
        <item x="38"/>
        <item x="37"/>
        <item x="36"/>
        <item x="116"/>
        <item x="155"/>
        <item x="35"/>
        <item x="34"/>
        <item x="177"/>
        <item x="154"/>
        <item x="115"/>
        <item x="33"/>
        <item x="32"/>
        <item x="176"/>
        <item x="31"/>
        <item x="30"/>
        <item x="29"/>
        <item x="136"/>
        <item x="114"/>
        <item x="28"/>
        <item x="27"/>
        <item x="26"/>
        <item x="25"/>
        <item x="24"/>
        <item x="23"/>
        <item x="22"/>
        <item x="21"/>
        <item x="19"/>
        <item x="18"/>
        <item x="17"/>
        <item x="16"/>
        <item x="20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21">
        <item x="277"/>
        <item x="283"/>
        <item x="38"/>
        <item x="37"/>
        <item x="36"/>
        <item x="300"/>
        <item x="94"/>
        <item x="35"/>
        <item x="156"/>
        <item x="93"/>
        <item x="80"/>
        <item x="255"/>
        <item x="19"/>
        <item x="165"/>
        <item x="79"/>
        <item x="54"/>
        <item x="18"/>
        <item x="78"/>
        <item x="17"/>
        <item x="130"/>
        <item x="53"/>
        <item x="34"/>
        <item x="16"/>
        <item x="67"/>
        <item x="100"/>
        <item x="149"/>
        <item x="148"/>
        <item x="92"/>
        <item x="15"/>
        <item x="14"/>
        <item x="52"/>
        <item x="183"/>
        <item x="147"/>
        <item x="51"/>
        <item x="231"/>
        <item x="155"/>
        <item x="138"/>
        <item x="13"/>
        <item x="182"/>
        <item x="164"/>
        <item x="12"/>
        <item x="50"/>
        <item x="91"/>
        <item x="129"/>
        <item x="66"/>
        <item x="90"/>
        <item x="11"/>
        <item x="77"/>
        <item x="89"/>
        <item x="49"/>
        <item x="76"/>
        <item x="33"/>
        <item x="146"/>
        <item x="128"/>
        <item x="248"/>
        <item x="32"/>
        <item x="288"/>
        <item x="111"/>
        <item x="181"/>
        <item x="48"/>
        <item x="273"/>
        <item x="154"/>
        <item x="212"/>
        <item x="31"/>
        <item x="153"/>
        <item x="137"/>
        <item x="173"/>
        <item x="221"/>
        <item x="136"/>
        <item x="272"/>
        <item x="47"/>
        <item x="127"/>
        <item x="180"/>
        <item x="110"/>
        <item x="230"/>
        <item x="163"/>
        <item x="235"/>
        <item x="109"/>
        <item x="30"/>
        <item x="162"/>
        <item x="29"/>
        <item x="108"/>
        <item x="119"/>
        <item x="296"/>
        <item x="211"/>
        <item x="258"/>
        <item x="179"/>
        <item x="195"/>
        <item x="107"/>
        <item x="65"/>
        <item x="99"/>
        <item x="75"/>
        <item x="88"/>
        <item x="46"/>
        <item x="10"/>
        <item x="9"/>
        <item x="206"/>
        <item x="220"/>
        <item x="87"/>
        <item x="45"/>
        <item x="118"/>
        <item x="295"/>
        <item x="152"/>
        <item x="126"/>
        <item x="8"/>
        <item x="145"/>
        <item x="200"/>
        <item x="7"/>
        <item x="271"/>
        <item x="28"/>
        <item x="144"/>
        <item x="172"/>
        <item x="86"/>
        <item x="117"/>
        <item x="224"/>
        <item x="194"/>
        <item x="27"/>
        <item x="178"/>
        <item x="135"/>
        <item x="44"/>
        <item x="64"/>
        <item x="6"/>
        <item x="125"/>
        <item x="63"/>
        <item x="26"/>
        <item x="265"/>
        <item x="308"/>
        <item x="43"/>
        <item x="5"/>
        <item x="4"/>
        <item x="62"/>
        <item x="177"/>
        <item x="190"/>
        <item x="254"/>
        <item x="134"/>
        <item x="193"/>
        <item x="25"/>
        <item x="143"/>
        <item x="176"/>
        <item x="116"/>
        <item x="133"/>
        <item x="61"/>
        <item x="171"/>
        <item x="3"/>
        <item x="98"/>
        <item x="210"/>
        <item x="124"/>
        <item x="74"/>
        <item x="270"/>
        <item x="239"/>
        <item x="247"/>
        <item x="290"/>
        <item x="142"/>
        <item x="115"/>
        <item x="238"/>
        <item x="264"/>
        <item x="132"/>
        <item x="2"/>
        <item x="141"/>
        <item x="60"/>
        <item x="205"/>
        <item x="24"/>
        <item x="209"/>
        <item x="307"/>
        <item x="73"/>
        <item x="229"/>
        <item x="279"/>
        <item x="106"/>
        <item x="199"/>
        <item x="72"/>
        <item x="215"/>
        <item x="161"/>
        <item x="311"/>
        <item x="114"/>
        <item x="59"/>
        <item x="23"/>
        <item x="219"/>
        <item x="170"/>
        <item x="85"/>
        <item x="198"/>
        <item x="242"/>
        <item x="246"/>
        <item x="97"/>
        <item x="189"/>
        <item x="260"/>
        <item x="105"/>
        <item x="140"/>
        <item x="228"/>
        <item x="315"/>
        <item x="218"/>
        <item x="169"/>
        <item x="278"/>
        <item x="227"/>
        <item x="160"/>
        <item x="42"/>
        <item x="188"/>
        <item x="223"/>
        <item x="234"/>
        <item x="253"/>
        <item x="314"/>
        <item x="159"/>
        <item x="208"/>
        <item x="123"/>
        <item x="58"/>
        <item x="158"/>
        <item x="252"/>
        <item x="187"/>
        <item x="204"/>
        <item x="96"/>
        <item x="71"/>
        <item x="22"/>
        <item x="251"/>
        <item x="310"/>
        <item x="84"/>
        <item x="306"/>
        <item x="83"/>
        <item x="287"/>
        <item x="151"/>
        <item x="104"/>
        <item x="294"/>
        <item x="192"/>
        <item x="82"/>
        <item x="289"/>
        <item x="298"/>
        <item x="41"/>
        <item x="203"/>
        <item x="241"/>
        <item x="214"/>
        <item x="113"/>
        <item x="293"/>
        <item x="249"/>
        <item x="282"/>
        <item x="103"/>
        <item x="250"/>
        <item x="70"/>
        <item x="21"/>
        <item x="245"/>
        <item x="207"/>
        <item x="202"/>
        <item x="201"/>
        <item x="244"/>
        <item x="168"/>
        <item x="57"/>
        <item x="233"/>
        <item x="303"/>
        <item x="69"/>
        <item x="299"/>
        <item x="292"/>
        <item x="269"/>
        <item x="122"/>
        <item x="175"/>
        <item x="217"/>
        <item x="268"/>
        <item x="263"/>
        <item x="1"/>
        <item x="216"/>
        <item x="309"/>
        <item x="81"/>
        <item x="262"/>
        <item x="320"/>
        <item x="302"/>
        <item x="286"/>
        <item x="261"/>
        <item x="237"/>
        <item x="281"/>
        <item x="313"/>
        <item x="267"/>
        <item x="186"/>
        <item x="112"/>
        <item x="150"/>
        <item x="226"/>
        <item x="185"/>
        <item x="280"/>
        <item x="40"/>
        <item x="0"/>
        <item x="276"/>
        <item x="20"/>
        <item x="259"/>
        <item x="275"/>
        <item x="102"/>
        <item x="257"/>
        <item x="174"/>
        <item x="319"/>
        <item x="95"/>
        <item x="68"/>
        <item x="191"/>
        <item x="131"/>
        <item x="317"/>
        <item x="243"/>
        <item x="305"/>
        <item x="121"/>
        <item x="284"/>
        <item x="139"/>
        <item x="56"/>
        <item x="55"/>
        <item x="225"/>
        <item x="232"/>
        <item x="256"/>
        <item x="240"/>
        <item x="167"/>
        <item x="213"/>
        <item x="318"/>
        <item x="101"/>
        <item x="236"/>
        <item x="266"/>
        <item x="39"/>
        <item x="312"/>
        <item x="222"/>
        <item x="157"/>
        <item x="304"/>
        <item x="197"/>
        <item x="291"/>
        <item x="196"/>
        <item x="301"/>
        <item x="120"/>
        <item x="166"/>
        <item x="297"/>
        <item x="184"/>
        <item x="285"/>
        <item x="316"/>
        <item x="274"/>
      </items>
    </pivotField>
    <pivotField dataField="1" showAll="0" defaultSubtotal="0">
      <items count="188">
        <item x="107"/>
        <item x="168"/>
        <item x="50"/>
        <item x="51"/>
        <item x="53"/>
        <item x="47"/>
        <item x="97"/>
        <item x="54"/>
        <item x="62"/>
        <item x="93"/>
        <item x="69"/>
        <item x="98"/>
        <item x="96"/>
        <item x="81"/>
        <item x="99"/>
        <item x="52"/>
        <item x="154"/>
        <item x="46"/>
        <item x="100"/>
        <item x="125"/>
        <item x="48"/>
        <item x="109"/>
        <item x="153"/>
        <item x="108"/>
        <item x="67"/>
        <item x="106"/>
        <item x="55"/>
        <item x="169"/>
        <item x="111"/>
        <item x="82"/>
        <item x="49"/>
        <item x="34"/>
        <item x="39"/>
        <item x="92"/>
        <item x="142"/>
        <item x="167"/>
        <item x="102"/>
        <item x="104"/>
        <item x="116"/>
        <item x="90"/>
        <item x="80"/>
        <item x="91"/>
        <item x="68"/>
        <item x="79"/>
        <item x="56"/>
        <item x="105"/>
        <item x="95"/>
        <item x="87"/>
        <item x="63"/>
        <item x="64"/>
        <item x="78"/>
        <item x="114"/>
        <item x="84"/>
        <item x="45"/>
        <item x="127"/>
        <item x="126"/>
        <item x="184"/>
        <item x="60"/>
        <item x="66"/>
        <item x="89"/>
        <item x="103"/>
        <item x="115"/>
        <item x="179"/>
        <item x="173"/>
        <item x="88"/>
        <item x="65"/>
        <item x="113"/>
        <item x="77"/>
        <item x="172"/>
        <item x="61"/>
        <item x="86"/>
        <item x="112"/>
        <item x="94"/>
        <item x="75"/>
        <item x="43"/>
        <item x="76"/>
        <item x="44"/>
        <item x="182"/>
        <item x="59"/>
        <item x="29"/>
        <item x="187"/>
        <item x="85"/>
        <item x="58"/>
        <item x="185"/>
        <item x="140"/>
        <item x="160"/>
        <item x="70"/>
        <item x="181"/>
        <item x="41"/>
        <item x="30"/>
        <item x="175"/>
        <item x="83"/>
        <item x="74"/>
        <item x="42"/>
        <item x="152"/>
        <item x="171"/>
        <item x="73"/>
        <item x="174"/>
        <item x="178"/>
        <item x="183"/>
        <item x="177"/>
        <item x="119"/>
        <item x="159"/>
        <item x="110"/>
        <item x="36"/>
        <item x="157"/>
        <item x="155"/>
        <item x="72"/>
        <item x="121"/>
        <item x="165"/>
        <item x="33"/>
        <item x="158"/>
        <item x="141"/>
        <item x="71"/>
        <item x="57"/>
        <item x="180"/>
        <item x="101"/>
        <item x="170"/>
        <item x="124"/>
        <item x="143"/>
        <item x="40"/>
        <item x="164"/>
        <item x="151"/>
        <item x="139"/>
        <item x="138"/>
        <item x="166"/>
        <item x="150"/>
        <item x="186"/>
        <item x="161"/>
        <item x="129"/>
        <item x="123"/>
        <item x="135"/>
        <item x="37"/>
        <item x="38"/>
        <item x="149"/>
        <item x="122"/>
        <item x="12"/>
        <item x="148"/>
        <item x="134"/>
        <item x="137"/>
        <item x="132"/>
        <item x="31"/>
        <item x="147"/>
        <item x="136"/>
        <item x="156"/>
        <item x="163"/>
        <item x="176"/>
        <item x="120"/>
        <item x="146"/>
        <item x="133"/>
        <item x="131"/>
        <item x="13"/>
        <item x="130"/>
        <item x="145"/>
        <item x="32"/>
        <item x="15"/>
        <item x="35"/>
        <item x="162"/>
        <item x="144"/>
        <item x="118"/>
        <item x="27"/>
        <item x="19"/>
        <item x="10"/>
        <item x="16"/>
        <item x="26"/>
        <item x="18"/>
        <item x="28"/>
        <item x="128"/>
        <item x="117"/>
        <item x="25"/>
        <item x="24"/>
        <item x="14"/>
        <item x="23"/>
        <item x="21"/>
        <item x="22"/>
        <item x="17"/>
        <item x="20"/>
        <item x="11"/>
        <item x="1"/>
        <item x="8"/>
        <item x="4"/>
        <item x="9"/>
        <item x="7"/>
        <item x="3"/>
        <item x="5"/>
        <item x="6"/>
        <item x="2"/>
        <item x="0"/>
      </items>
    </pivotField>
    <pivotField dataField="1" showAll="0" defaultSubtotal="0">
      <items count="473">
        <item x="134"/>
        <item x="426"/>
        <item x="89"/>
        <item x="231"/>
        <item x="51"/>
        <item x="256"/>
        <item x="249"/>
        <item x="151"/>
        <item x="361"/>
        <item x="345"/>
        <item x="34"/>
        <item x="68"/>
        <item x="457"/>
        <item x="170"/>
        <item x="205"/>
        <item x="53"/>
        <item x="259"/>
        <item x="176"/>
        <item x="324"/>
        <item x="131"/>
        <item x="48"/>
        <item x="447"/>
        <item x="87"/>
        <item x="191"/>
        <item x="12"/>
        <item x="83"/>
        <item x="336"/>
        <item x="420"/>
        <item x="152"/>
        <item x="244"/>
        <item x="202"/>
        <item x="54"/>
        <item x="107"/>
        <item x="135"/>
        <item x="258"/>
        <item x="85"/>
        <item x="29"/>
        <item x="153"/>
        <item x="13"/>
        <item x="118"/>
        <item x="62"/>
        <item x="15"/>
        <item x="225"/>
        <item x="246"/>
        <item x="289"/>
        <item x="30"/>
        <item x="332"/>
        <item x="119"/>
        <item x="88"/>
        <item x="201"/>
        <item x="284"/>
        <item x="70"/>
        <item x="150"/>
        <item x="297"/>
        <item x="232"/>
        <item x="129"/>
        <item x="162"/>
        <item x="86"/>
        <item x="288"/>
        <item x="208"/>
        <item x="178"/>
        <item x="462"/>
        <item x="108"/>
        <item x="36"/>
        <item x="335"/>
        <item x="414"/>
        <item x="10"/>
        <item x="217"/>
        <item x="356"/>
        <item x="179"/>
        <item x="33"/>
        <item x="138"/>
        <item x="120"/>
        <item x="16"/>
        <item x="395"/>
        <item x="442"/>
        <item x="466"/>
        <item x="18"/>
        <item x="52"/>
        <item x="240"/>
        <item x="446"/>
        <item x="193"/>
        <item x="300"/>
        <item x="467"/>
        <item x="116"/>
        <item x="425"/>
        <item x="327"/>
        <item x="47"/>
        <item x="146"/>
        <item x="381"/>
        <item x="166"/>
        <item x="175"/>
        <item x="369"/>
        <item x="424"/>
        <item x="286"/>
        <item x="148"/>
        <item x="334"/>
        <item x="234"/>
        <item x="122"/>
        <item x="104"/>
        <item x="37"/>
        <item x="322"/>
        <item x="49"/>
        <item x="38"/>
        <item x="192"/>
        <item x="169"/>
        <item x="380"/>
        <item x="448"/>
        <item x="14"/>
        <item x="396"/>
        <item x="323"/>
        <item x="295"/>
        <item x="357"/>
        <item x="375"/>
        <item x="90"/>
        <item x="277"/>
        <item x="154"/>
        <item x="364"/>
        <item x="326"/>
        <item x="403"/>
        <item x="204"/>
        <item x="304"/>
        <item x="387"/>
        <item x="349"/>
        <item x="455"/>
        <item x="399"/>
        <item x="31"/>
        <item x="123"/>
        <item x="451"/>
        <item x="66"/>
        <item x="306"/>
        <item x="418"/>
        <item x="105"/>
        <item x="55"/>
        <item x="390"/>
        <item x="275"/>
        <item x="318"/>
        <item x="337"/>
        <item x="106"/>
        <item x="299"/>
        <item x="276"/>
        <item x="458"/>
        <item x="307"/>
        <item x="121"/>
        <item x="317"/>
        <item x="227"/>
        <item x="17"/>
        <item x="137"/>
        <item x="230"/>
        <item x="311"/>
        <item x="409"/>
        <item x="250"/>
        <item x="440"/>
        <item x="400"/>
        <item x="11"/>
        <item x="261"/>
        <item x="50"/>
        <item x="229"/>
        <item x="84"/>
        <item x="325"/>
        <item x="133"/>
        <item x="257"/>
        <item x="274"/>
        <item x="305"/>
        <item x="389"/>
        <item x="102"/>
        <item x="413"/>
        <item x="267"/>
        <item x="39"/>
        <item x="32"/>
        <item x="402"/>
        <item x="346"/>
        <item x="67"/>
        <item x="82"/>
        <item x="117"/>
        <item x="200"/>
        <item x="103"/>
        <item x="161"/>
        <item x="348"/>
        <item x="439"/>
        <item x="239"/>
        <item x="465"/>
        <item x="354"/>
        <item x="401"/>
        <item x="215"/>
        <item x="268"/>
        <item x="342"/>
        <item x="136"/>
        <item x="168"/>
        <item x="388"/>
        <item x="35"/>
        <item x="355"/>
        <item x="140"/>
        <item x="273"/>
        <item x="374"/>
        <item x="287"/>
        <item x="190"/>
        <item x="98"/>
        <item x="81"/>
        <item x="260"/>
        <item x="408"/>
        <item x="97"/>
        <item x="308"/>
        <item x="386"/>
        <item x="216"/>
        <item x="101"/>
        <item x="339"/>
        <item x="316"/>
        <item x="296"/>
        <item x="456"/>
        <item x="203"/>
        <item x="147"/>
        <item x="180"/>
        <item x="238"/>
        <item x="366"/>
        <item x="416"/>
        <item x="93"/>
        <item x="365"/>
        <item x="109"/>
        <item x="157"/>
        <item x="95"/>
        <item x="471"/>
        <item x="183"/>
        <item x="1"/>
        <item x="69"/>
        <item x="8"/>
        <item x="422"/>
        <item x="237"/>
        <item x="430"/>
        <item x="379"/>
        <item x="362"/>
        <item x="27"/>
        <item x="130"/>
        <item x="187"/>
        <item x="292"/>
        <item x="266"/>
        <item x="272"/>
        <item x="56"/>
        <item x="159"/>
        <item x="383"/>
        <item x="19"/>
        <item x="145"/>
        <item x="100"/>
        <item x="236"/>
        <item x="377"/>
        <item x="294"/>
        <item x="303"/>
        <item x="194"/>
        <item x="285"/>
        <item x="245"/>
        <item x="394"/>
        <item x="441"/>
        <item x="213"/>
        <item x="271"/>
        <item x="149"/>
        <item x="63"/>
        <item x="309"/>
        <item x="371"/>
        <item x="363"/>
        <item x="80"/>
        <item x="298"/>
        <item x="64"/>
        <item x="235"/>
        <item x="99"/>
        <item x="353"/>
        <item x="385"/>
        <item x="79"/>
        <item x="46"/>
        <item x="167"/>
        <item x="412"/>
        <item x="251"/>
        <item x="352"/>
        <item x="419"/>
        <item x="214"/>
        <item x="315"/>
        <item x="132"/>
        <item x="228"/>
        <item x="77"/>
        <item x="26"/>
        <item x="4"/>
        <item x="186"/>
        <item x="96"/>
        <item x="189"/>
        <item x="373"/>
        <item x="314"/>
        <item x="347"/>
        <item x="406"/>
        <item x="76"/>
        <item x="28"/>
        <item x="423"/>
        <item x="248"/>
        <item x="233"/>
        <item x="78"/>
        <item x="181"/>
        <item x="223"/>
        <item x="370"/>
        <item x="461"/>
        <item x="472"/>
        <item x="9"/>
        <item x="188"/>
        <item x="226"/>
        <item x="343"/>
        <item x="7"/>
        <item x="393"/>
        <item x="65"/>
        <item x="283"/>
        <item x="372"/>
        <item x="344"/>
        <item x="360"/>
        <item x="279"/>
        <item x="445"/>
        <item x="254"/>
        <item x="114"/>
        <item x="265"/>
        <item x="199"/>
        <item x="3"/>
        <item x="5"/>
        <item x="378"/>
        <item x="432"/>
        <item x="464"/>
        <item x="6"/>
        <item x="94"/>
        <item x="255"/>
        <item x="143"/>
        <item x="172"/>
        <item x="392"/>
        <item x="222"/>
        <item x="164"/>
        <item x="25"/>
        <item x="71"/>
        <item x="450"/>
        <item x="177"/>
        <item x="341"/>
        <item x="165"/>
        <item x="340"/>
        <item x="185"/>
        <item x="115"/>
        <item x="433"/>
        <item x="384"/>
        <item x="330"/>
        <item x="198"/>
        <item x="61"/>
        <item x="113"/>
        <item x="281"/>
        <item x="407"/>
        <item x="333"/>
        <item x="160"/>
        <item x="128"/>
        <item x="224"/>
        <item x="184"/>
        <item x="24"/>
        <item x="398"/>
        <item x="293"/>
        <item x="459"/>
        <item x="2"/>
        <item x="282"/>
        <item x="43"/>
        <item x="247"/>
        <item x="211"/>
        <item x="428"/>
        <item x="163"/>
        <item x="212"/>
        <item x="75"/>
        <item x="270"/>
        <item x="45"/>
        <item x="112"/>
        <item x="444"/>
        <item x="218"/>
        <item x="207"/>
        <item x="174"/>
        <item x="144"/>
        <item x="173"/>
        <item x="44"/>
        <item x="264"/>
        <item x="469"/>
        <item x="74"/>
        <item x="92"/>
        <item x="302"/>
        <item x="321"/>
        <item x="368"/>
        <item x="438"/>
        <item x="23"/>
        <item x="60"/>
        <item x="404"/>
        <item x="454"/>
        <item x="209"/>
        <item x="210"/>
        <item x="331"/>
        <item x="351"/>
        <item x="142"/>
        <item x="269"/>
        <item x="359"/>
        <item x="221"/>
        <item x="59"/>
        <item x="127"/>
        <item x="367"/>
        <item x="280"/>
        <item x="427"/>
        <item x="417"/>
        <item x="405"/>
        <item x="197"/>
        <item x="21"/>
        <item x="436"/>
        <item x="312"/>
        <item x="301"/>
        <item x="41"/>
        <item x="291"/>
        <item x="22"/>
        <item x="125"/>
        <item x="391"/>
        <item x="429"/>
        <item x="470"/>
        <item x="437"/>
        <item x="421"/>
        <item x="111"/>
        <item x="460"/>
        <item x="158"/>
        <item x="73"/>
        <item x="319"/>
        <item x="196"/>
        <item x="42"/>
        <item x="126"/>
        <item x="376"/>
        <item x="411"/>
        <item x="243"/>
        <item x="313"/>
        <item x="415"/>
        <item x="449"/>
        <item x="91"/>
        <item x="329"/>
        <item x="72"/>
        <item x="58"/>
        <item x="141"/>
        <item x="20"/>
        <item x="382"/>
        <item x="435"/>
        <item x="253"/>
        <item x="468"/>
        <item x="110"/>
        <item x="220"/>
        <item x="320"/>
        <item x="350"/>
        <item x="171"/>
        <item x="195"/>
        <item x="431"/>
        <item x="0"/>
        <item x="453"/>
        <item x="262"/>
        <item x="182"/>
        <item x="290"/>
        <item x="328"/>
        <item x="156"/>
        <item x="57"/>
        <item x="40"/>
        <item x="252"/>
        <item x="452"/>
        <item x="358"/>
        <item x="397"/>
        <item x="242"/>
        <item x="443"/>
        <item x="263"/>
        <item x="206"/>
        <item x="139"/>
        <item x="278"/>
        <item x="434"/>
        <item x="310"/>
        <item x="219"/>
        <item x="338"/>
        <item x="241"/>
        <item x="124"/>
        <item x="463"/>
        <item x="155"/>
        <item x="410"/>
      </items>
    </pivotField>
    <pivotField dataField="1" showAll="0" defaultSubtotal="0">
      <items count="144">
        <item x="84"/>
        <item x="65"/>
        <item x="83"/>
        <item x="67"/>
        <item x="64"/>
        <item x="74"/>
        <item x="61"/>
        <item x="59"/>
        <item x="76"/>
        <item x="72"/>
        <item x="77"/>
        <item x="87"/>
        <item x="45"/>
        <item x="48"/>
        <item x="58"/>
        <item x="81"/>
        <item x="57"/>
        <item x="44"/>
        <item x="95"/>
        <item x="73"/>
        <item x="43"/>
        <item x="63"/>
        <item x="66"/>
        <item x="55"/>
        <item x="60"/>
        <item x="92"/>
        <item x="89"/>
        <item x="41"/>
        <item x="75"/>
        <item x="36"/>
        <item x="69"/>
        <item x="70"/>
        <item x="79"/>
        <item x="142"/>
        <item x="94"/>
        <item x="93"/>
        <item x="85"/>
        <item x="131"/>
        <item x="52"/>
        <item x="68"/>
        <item x="88"/>
        <item x="80"/>
        <item x="49"/>
        <item x="23"/>
        <item x="54"/>
        <item x="42"/>
        <item x="78"/>
        <item x="99"/>
        <item x="90"/>
        <item x="120"/>
        <item x="123"/>
        <item x="53"/>
        <item x="110"/>
        <item x="51"/>
        <item x="50"/>
        <item x="140"/>
        <item x="119"/>
        <item x="29"/>
        <item x="109"/>
        <item x="82"/>
        <item x="46"/>
        <item x="137"/>
        <item x="62"/>
        <item x="47"/>
        <item x="135"/>
        <item x="141"/>
        <item x="108"/>
        <item x="143"/>
        <item x="129"/>
        <item x="9"/>
        <item x="111"/>
        <item x="132"/>
        <item x="113"/>
        <item x="86"/>
        <item x="25"/>
        <item x="24"/>
        <item x="91"/>
        <item x="71"/>
        <item x="136"/>
        <item x="104"/>
        <item x="116"/>
        <item x="125"/>
        <item x="107"/>
        <item x="134"/>
        <item x="26"/>
        <item x="126"/>
        <item x="106"/>
        <item x="124"/>
        <item x="127"/>
        <item x="56"/>
        <item x="96"/>
        <item x="98"/>
        <item x="139"/>
        <item x="128"/>
        <item x="115"/>
        <item x="105"/>
        <item x="138"/>
        <item x="117"/>
        <item x="122"/>
        <item x="6"/>
        <item x="102"/>
        <item x="133"/>
        <item x="121"/>
        <item x="100"/>
        <item x="21"/>
        <item x="103"/>
        <item x="114"/>
        <item x="39"/>
        <item x="38"/>
        <item x="7"/>
        <item x="101"/>
        <item x="27"/>
        <item x="40"/>
        <item x="2"/>
        <item x="22"/>
        <item x="33"/>
        <item x="37"/>
        <item x="112"/>
        <item x="97"/>
        <item x="28"/>
        <item x="5"/>
        <item x="34"/>
        <item x="32"/>
        <item x="118"/>
        <item x="130"/>
        <item x="18"/>
        <item x="35"/>
        <item x="3"/>
        <item x="31"/>
        <item x="30"/>
        <item x="13"/>
        <item x="0"/>
        <item x="4"/>
        <item x="11"/>
        <item x="8"/>
        <item x="15"/>
        <item x="19"/>
        <item x="17"/>
        <item x="20"/>
        <item x="16"/>
        <item x="14"/>
        <item x="12"/>
        <item x="10"/>
        <item x="1"/>
      </items>
    </pivotField>
    <pivotField dataField="1" showAll="0" defaultSubtotal="0">
      <items count="371">
        <item x="91"/>
        <item x="74"/>
        <item x="60"/>
        <item x="88"/>
        <item x="281"/>
        <item x="158"/>
        <item x="231"/>
        <item x="214"/>
        <item x="178"/>
        <item x="9"/>
        <item x="90"/>
        <item x="35"/>
        <item x="173"/>
        <item x="75"/>
        <item x="160"/>
        <item x="154"/>
        <item x="63"/>
        <item x="139"/>
        <item x="92"/>
        <item x="23"/>
        <item x="239"/>
        <item x="322"/>
        <item x="6"/>
        <item x="59"/>
        <item x="138"/>
        <item x="215"/>
        <item x="71"/>
        <item x="29"/>
        <item x="230"/>
        <item x="128"/>
        <item x="279"/>
        <item x="7"/>
        <item x="109"/>
        <item x="181"/>
        <item x="119"/>
        <item x="2"/>
        <item x="55"/>
        <item x="68"/>
        <item x="101"/>
        <item x="150"/>
        <item x="84"/>
        <item x="125"/>
        <item x="25"/>
        <item x="76"/>
        <item x="24"/>
        <item x="319"/>
        <item x="290"/>
        <item x="42"/>
        <item x="118"/>
        <item x="69"/>
        <item x="5"/>
        <item x="260"/>
        <item x="45"/>
        <item x="241"/>
        <item x="155"/>
        <item x="77"/>
        <item x="26"/>
        <item x="182"/>
        <item x="169"/>
        <item x="287"/>
        <item x="161"/>
        <item x="210"/>
        <item x="94"/>
        <item x="130"/>
        <item x="216"/>
        <item x="331"/>
        <item x="18"/>
        <item x="224"/>
        <item x="251"/>
        <item x="41"/>
        <item x="85"/>
        <item x="185"/>
        <item x="164"/>
        <item x="334"/>
        <item x="273"/>
        <item x="270"/>
        <item x="133"/>
        <item x="346"/>
        <item x="79"/>
        <item x="135"/>
        <item x="284"/>
        <item x="316"/>
        <item x="21"/>
        <item x="282"/>
        <item x="3"/>
        <item x="93"/>
        <item x="148"/>
        <item x="37"/>
        <item x="78"/>
        <item x="114"/>
        <item x="249"/>
        <item x="117"/>
        <item x="52"/>
        <item x="320"/>
        <item x="190"/>
        <item x="174"/>
        <item x="100"/>
        <item x="13"/>
        <item x="87"/>
        <item x="268"/>
        <item x="228"/>
        <item x="0"/>
        <item x="220"/>
        <item x="237"/>
        <item x="120"/>
        <item x="27"/>
        <item x="70"/>
        <item x="196"/>
        <item x="4"/>
        <item x="159"/>
        <item x="39"/>
        <item x="129"/>
        <item x="179"/>
        <item x="297"/>
        <item x="22"/>
        <item x="253"/>
        <item x="191"/>
        <item x="33"/>
        <item x="11"/>
        <item x="47"/>
        <item x="111"/>
        <item x="227"/>
        <item x="115"/>
        <item x="339"/>
        <item x="271"/>
        <item x="184"/>
        <item x="162"/>
        <item x="295"/>
        <item x="327"/>
        <item x="106"/>
        <item x="163"/>
        <item x="203"/>
        <item x="58"/>
        <item x="8"/>
        <item x="73"/>
        <item x="263"/>
        <item x="36"/>
        <item x="15"/>
        <item x="61"/>
        <item x="307"/>
        <item x="89"/>
        <item x="123"/>
        <item x="243"/>
        <item x="57"/>
        <item x="19"/>
        <item x="96"/>
        <item x="28"/>
        <item x="232"/>
        <item x="54"/>
        <item x="167"/>
        <item x="121"/>
        <item x="49"/>
        <item x="254"/>
        <item x="72"/>
        <item x="298"/>
        <item x="332"/>
        <item x="247"/>
        <item x="236"/>
        <item x="98"/>
        <item x="32"/>
        <item x="294"/>
        <item x="341"/>
        <item x="17"/>
        <item x="170"/>
        <item x="82"/>
        <item x="226"/>
        <item x="186"/>
        <item x="46"/>
        <item x="146"/>
        <item x="269"/>
        <item x="142"/>
        <item x="189"/>
        <item x="199"/>
        <item x="51"/>
        <item x="187"/>
        <item x="274"/>
        <item x="293"/>
        <item x="153"/>
        <item x="40"/>
        <item x="127"/>
        <item x="345"/>
        <item x="105"/>
        <item x="317"/>
        <item x="303"/>
        <item x="65"/>
        <item x="234"/>
        <item x="291"/>
        <item x="211"/>
        <item x="336"/>
        <item x="198"/>
        <item x="66"/>
        <item x="144"/>
        <item x="151"/>
        <item x="212"/>
        <item x="246"/>
        <item x="143"/>
        <item x="97"/>
        <item x="131"/>
        <item x="50"/>
        <item x="16"/>
        <item x="168"/>
        <item x="134"/>
        <item x="104"/>
        <item x="81"/>
        <item x="201"/>
        <item x="326"/>
        <item x="34"/>
        <item x="110"/>
        <item x="265"/>
        <item x="48"/>
        <item x="171"/>
        <item x="353"/>
        <item x="194"/>
        <item x="14"/>
        <item x="245"/>
        <item x="177"/>
        <item x="83"/>
        <item x="276"/>
        <item x="235"/>
        <item x="124"/>
        <item x="80"/>
        <item x="152"/>
        <item x="222"/>
        <item x="344"/>
        <item x="312"/>
        <item x="259"/>
        <item x="193"/>
        <item x="64"/>
        <item x="219"/>
        <item x="113"/>
        <item x="43"/>
        <item x="126"/>
        <item x="95"/>
        <item x="166"/>
        <item x="31"/>
        <item x="321"/>
        <item x="140"/>
        <item x="256"/>
        <item x="12"/>
        <item x="361"/>
        <item x="209"/>
        <item x="44"/>
        <item x="242"/>
        <item x="62"/>
        <item x="315"/>
        <item x="136"/>
        <item x="165"/>
        <item x="244"/>
        <item x="122"/>
        <item x="141"/>
        <item x="252"/>
        <item x="257"/>
        <item x="328"/>
        <item x="205"/>
        <item x="218"/>
        <item x="149"/>
        <item x="176"/>
        <item x="208"/>
        <item x="30"/>
        <item x="299"/>
        <item x="112"/>
        <item x="360"/>
        <item x="217"/>
        <item x="283"/>
        <item x="302"/>
        <item x="223"/>
        <item x="350"/>
        <item x="175"/>
        <item x="330"/>
        <item x="308"/>
        <item x="369"/>
        <item x="147"/>
        <item x="10"/>
        <item x="248"/>
        <item x="156"/>
        <item x="103"/>
        <item x="358"/>
        <item x="363"/>
        <item x="102"/>
        <item x="108"/>
        <item x="183"/>
        <item x="280"/>
        <item x="200"/>
        <item x="225"/>
        <item x="285"/>
        <item x="304"/>
        <item x="192"/>
        <item x="137"/>
        <item x="238"/>
        <item x="314"/>
        <item x="306"/>
        <item x="323"/>
        <item x="335"/>
        <item x="359"/>
        <item x="277"/>
        <item x="229"/>
        <item x="258"/>
        <item x="309"/>
        <item x="264"/>
        <item x="349"/>
        <item x="311"/>
        <item x="355"/>
        <item x="367"/>
        <item x="240"/>
        <item x="286"/>
        <item x="206"/>
        <item x="56"/>
        <item x="221"/>
        <item x="289"/>
        <item x="207"/>
        <item x="340"/>
        <item x="233"/>
        <item x="300"/>
        <item x="278"/>
        <item x="266"/>
        <item x="86"/>
        <item x="356"/>
        <item x="310"/>
        <item x="157"/>
        <item x="204"/>
        <item x="292"/>
        <item x="250"/>
        <item x="267"/>
        <item x="197"/>
        <item x="329"/>
        <item x="262"/>
        <item x="132"/>
        <item x="145"/>
        <item x="348"/>
        <item x="365"/>
        <item x="272"/>
        <item x="342"/>
        <item x="1"/>
        <item x="67"/>
        <item x="255"/>
        <item x="343"/>
        <item x="275"/>
        <item x="116"/>
        <item x="20"/>
        <item x="357"/>
        <item x="180"/>
        <item x="288"/>
        <item x="347"/>
        <item x="352"/>
        <item x="370"/>
        <item x="107"/>
        <item x="333"/>
        <item x="296"/>
        <item x="99"/>
        <item x="195"/>
        <item x="337"/>
        <item x="213"/>
        <item x="172"/>
        <item x="305"/>
        <item x="53"/>
        <item x="313"/>
        <item x="362"/>
        <item x="261"/>
        <item x="38"/>
        <item x="188"/>
        <item x="301"/>
        <item x="325"/>
        <item x="318"/>
        <item x="324"/>
        <item x="202"/>
        <item x="354"/>
        <item x="338"/>
        <item x="366"/>
        <item x="364"/>
        <item x="351"/>
        <item x="368"/>
      </items>
    </pivotField>
    <pivotField dataField="1" showAll="0" defaultSubtotal="0">
      <items count="9">
        <item x="0"/>
        <item x="7"/>
        <item x="3"/>
        <item x="5"/>
        <item x="2"/>
        <item x="1"/>
        <item x="8"/>
        <item x="6"/>
        <item x="4"/>
      </items>
    </pivotField>
  </pivotFields>
  <rowFields count="3">
    <field x="2"/>
    <field x="6"/>
    <field x="5"/>
  </rowFields>
  <rowItems count="1173">
    <i>
      <x/>
    </i>
    <i r="1">
      <x/>
      <x v="78"/>
    </i>
    <i r="1">
      <x v="1"/>
      <x v="59"/>
    </i>
    <i r="1">
      <x v="2"/>
      <x v="74"/>
    </i>
    <i r="1">
      <x v="3"/>
      <x v="70"/>
    </i>
    <i r="1">
      <x v="4"/>
      <x v="84"/>
    </i>
    <i r="1">
      <x v="5"/>
      <x v="86"/>
    </i>
    <i r="1">
      <x v="6"/>
      <x v="77"/>
    </i>
    <i r="1">
      <x v="7"/>
      <x v="72"/>
    </i>
    <i r="1">
      <x v="8"/>
      <x v="54"/>
    </i>
    <i r="1">
      <x v="9"/>
      <x v="73"/>
    </i>
    <i r="1">
      <x v="10"/>
      <x/>
    </i>
    <i r="1">
      <x v="11"/>
      <x v="48"/>
    </i>
    <i r="1">
      <x v="12"/>
      <x v="58"/>
    </i>
    <i r="1">
      <x v="13"/>
      <x v="47"/>
    </i>
    <i r="1">
      <x v="14"/>
      <x v="57"/>
    </i>
    <i r="1">
      <x v="15"/>
      <x v="42"/>
    </i>
    <i r="1">
      <x v="16"/>
      <x v="1"/>
    </i>
    <i r="1">
      <x v="17"/>
      <x v="7"/>
    </i>
    <i r="1">
      <x v="18"/>
      <x v="83"/>
    </i>
    <i r="1">
      <x v="19"/>
      <x v="52"/>
    </i>
    <i t="blank">
      <x/>
    </i>
    <i>
      <x v="1"/>
    </i>
    <i r="1">
      <x/>
      <x v="59"/>
    </i>
    <i r="1">
      <x v="1"/>
      <x v="78"/>
    </i>
    <i r="1">
      <x v="2"/>
      <x v="70"/>
    </i>
    <i r="1">
      <x v="3"/>
      <x v="73"/>
    </i>
    <i r="1">
      <x v="4"/>
      <x v="74"/>
    </i>
    <i r="1">
      <x v="5"/>
      <x v="72"/>
    </i>
    <i r="1">
      <x v="6"/>
      <x v="86"/>
    </i>
    <i r="1">
      <x v="7"/>
      <x v="84"/>
    </i>
    <i r="1">
      <x v="8"/>
      <x v="54"/>
    </i>
    <i r="1">
      <x v="9"/>
      <x v="77"/>
    </i>
    <i r="1">
      <x v="10"/>
      <x v="58"/>
    </i>
    <i r="1">
      <x v="11"/>
      <x v="57"/>
    </i>
    <i r="1">
      <x v="12"/>
      <x v="42"/>
    </i>
    <i r="1">
      <x v="13"/>
      <x v="47"/>
    </i>
    <i r="1">
      <x v="14"/>
      <x v="67"/>
    </i>
    <i r="1">
      <x v="15"/>
      <x v="61"/>
    </i>
    <i r="1">
      <x v="16"/>
      <x v="75"/>
    </i>
    <i r="1">
      <x v="17"/>
      <x v="52"/>
    </i>
    <i r="1">
      <x v="18"/>
      <x v="76"/>
    </i>
    <i r="1">
      <x v="19"/>
      <x v="60"/>
    </i>
    <i t="blank">
      <x v="1"/>
    </i>
    <i>
      <x v="2"/>
    </i>
    <i r="1">
      <x/>
      <x v="59"/>
    </i>
    <i r="1">
      <x v="1"/>
      <x v="78"/>
    </i>
    <i r="1">
      <x v="2"/>
      <x v="84"/>
    </i>
    <i r="1">
      <x v="3"/>
      <x v="86"/>
    </i>
    <i r="1">
      <x v="4"/>
      <x v="70"/>
    </i>
    <i r="2">
      <x v="72"/>
    </i>
    <i r="1">
      <x v="6"/>
      <x v="74"/>
    </i>
    <i r="1">
      <x v="7"/>
      <x v="54"/>
    </i>
    <i r="1">
      <x v="8"/>
      <x v="57"/>
    </i>
    <i r="1">
      <x v="9"/>
      <x v="58"/>
    </i>
    <i r="1">
      <x v="10"/>
      <x v="77"/>
    </i>
    <i r="1">
      <x v="11"/>
      <x v="76"/>
    </i>
    <i r="1">
      <x v="12"/>
      <x v="83"/>
    </i>
    <i r="1">
      <x v="13"/>
      <x v="61"/>
    </i>
    <i r="2">
      <x v="66"/>
    </i>
    <i r="1">
      <x v="15"/>
      <x v="65"/>
    </i>
    <i r="2">
      <x v="67"/>
    </i>
    <i r="2">
      <x v="89"/>
    </i>
    <i r="1">
      <x v="18"/>
      <x v="1"/>
    </i>
    <i r="1">
      <x v="19"/>
      <x v="42"/>
    </i>
    <i t="blank">
      <x v="2"/>
    </i>
    <i>
      <x v="3"/>
    </i>
    <i r="1">
      <x/>
      <x v="59"/>
    </i>
    <i r="1">
      <x v="1"/>
      <x v="78"/>
    </i>
    <i r="1">
      <x v="2"/>
      <x v="70"/>
    </i>
    <i r="1">
      <x v="3"/>
      <x v="86"/>
    </i>
    <i r="1">
      <x v="4"/>
      <x v="72"/>
    </i>
    <i r="1">
      <x v="5"/>
      <x v="84"/>
    </i>
    <i r="1">
      <x v="6"/>
      <x v="74"/>
    </i>
    <i r="1">
      <x v="7"/>
      <x v="57"/>
    </i>
    <i r="1">
      <x v="8"/>
      <x v="54"/>
    </i>
    <i r="1">
      <x v="9"/>
      <x v="47"/>
    </i>
    <i r="1">
      <x v="10"/>
      <x v="77"/>
    </i>
    <i r="1">
      <x v="11"/>
      <x v="73"/>
    </i>
    <i r="1">
      <x v="12"/>
      <x v="76"/>
    </i>
    <i r="1">
      <x v="13"/>
      <x v="42"/>
    </i>
    <i r="2">
      <x v="46"/>
    </i>
    <i r="2">
      <x v="61"/>
    </i>
    <i r="2">
      <x v="75"/>
    </i>
    <i r="1">
      <x v="17"/>
      <x v="58"/>
    </i>
    <i r="1">
      <x v="18"/>
      <x v="3"/>
    </i>
    <i r="1">
      <x v="19"/>
      <x v="7"/>
    </i>
    <i t="blank">
      <x v="3"/>
    </i>
    <i>
      <x v="4"/>
    </i>
    <i r="1">
      <x/>
      <x v="59"/>
    </i>
    <i r="1">
      <x v="1"/>
      <x v="74"/>
    </i>
    <i r="1">
      <x v="2"/>
      <x v="72"/>
    </i>
    <i r="1">
      <x v="3"/>
      <x v="70"/>
    </i>
    <i r="1">
      <x v="4"/>
      <x v="78"/>
    </i>
    <i r="1">
      <x v="5"/>
      <x v="54"/>
    </i>
    <i r="1">
      <x v="6"/>
      <x v="47"/>
    </i>
    <i r="1">
      <x v="7"/>
      <x v="73"/>
    </i>
    <i r="1">
      <x v="8"/>
      <x v="75"/>
    </i>
    <i r="2">
      <x v="77"/>
    </i>
    <i r="1">
      <x v="10"/>
      <x v="86"/>
    </i>
    <i r="1">
      <x v="11"/>
      <x v="45"/>
    </i>
    <i r="1">
      <x v="12"/>
      <x v="60"/>
    </i>
    <i r="1">
      <x v="13"/>
      <x v="57"/>
    </i>
    <i r="2">
      <x v="76"/>
    </i>
    <i r="1">
      <x v="15"/>
      <x v="58"/>
    </i>
    <i r="1">
      <x v="16"/>
      <x v="7"/>
    </i>
    <i r="1">
      <x v="17"/>
      <x v="52"/>
    </i>
    <i r="1">
      <x v="18"/>
      <x v="1"/>
    </i>
    <i r="1">
      <x v="19"/>
      <x v="17"/>
    </i>
    <i r="2">
      <x v="36"/>
    </i>
    <i r="2">
      <x v="46"/>
    </i>
    <i t="blank">
      <x v="4"/>
    </i>
    <i>
      <x v="5"/>
    </i>
    <i r="1">
      <x/>
      <x v="74"/>
    </i>
    <i r="1">
      <x v="1"/>
      <x v="19"/>
    </i>
    <i r="1">
      <x v="2"/>
      <x v="78"/>
    </i>
    <i r="1">
      <x v="3"/>
      <x v="59"/>
    </i>
    <i r="1">
      <x v="4"/>
      <x v="70"/>
    </i>
    <i r="1">
      <x v="5"/>
      <x v="86"/>
    </i>
    <i r="1">
      <x v="6"/>
      <x v="47"/>
    </i>
    <i r="1">
      <x v="7"/>
      <x v="77"/>
    </i>
    <i r="1">
      <x v="8"/>
      <x v="54"/>
    </i>
    <i r="1">
      <x v="9"/>
      <x v="60"/>
    </i>
    <i r="1">
      <x v="10"/>
      <x v="75"/>
    </i>
    <i r="1">
      <x v="11"/>
      <x v="72"/>
    </i>
    <i r="1">
      <x v="12"/>
      <x v="21"/>
    </i>
    <i r="1">
      <x v="13"/>
      <x v="22"/>
    </i>
    <i r="1">
      <x v="14"/>
      <x v="45"/>
    </i>
    <i r="1">
      <x v="15"/>
      <x v="57"/>
    </i>
    <i r="1">
      <x v="16"/>
      <x v="31"/>
    </i>
    <i r="1">
      <x v="17"/>
      <x v="76"/>
    </i>
    <i r="1">
      <x v="18"/>
      <x v="84"/>
    </i>
    <i r="1">
      <x v="19"/>
      <x v="7"/>
    </i>
    <i r="2">
      <x v="52"/>
    </i>
    <i t="blank">
      <x v="5"/>
    </i>
    <i>
      <x v="6"/>
    </i>
    <i r="1">
      <x/>
      <x v="59"/>
    </i>
    <i r="1">
      <x v="1"/>
      <x v="78"/>
    </i>
    <i r="1">
      <x v="2"/>
      <x v="74"/>
    </i>
    <i r="1">
      <x v="3"/>
      <x v="70"/>
    </i>
    <i r="1">
      <x v="4"/>
      <x v="77"/>
    </i>
    <i r="2">
      <x v="86"/>
    </i>
    <i r="1">
      <x v="6"/>
      <x v="84"/>
    </i>
    <i r="1">
      <x v="7"/>
      <x v="72"/>
    </i>
    <i r="1">
      <x v="8"/>
      <x v="57"/>
    </i>
    <i r="1">
      <x v="9"/>
      <x v="47"/>
    </i>
    <i r="2">
      <x v="58"/>
    </i>
    <i r="1">
      <x v="11"/>
      <x v="3"/>
    </i>
    <i r="2">
      <x v="7"/>
    </i>
    <i r="2">
      <x v="52"/>
    </i>
    <i r="2">
      <x v="60"/>
    </i>
    <i r="1">
      <x v="15"/>
      <x v="8"/>
    </i>
    <i r="2">
      <x v="76"/>
    </i>
    <i r="1">
      <x v="17"/>
      <x v="42"/>
    </i>
    <i r="2">
      <x v="54"/>
    </i>
    <i r="2">
      <x v="67"/>
    </i>
    <i t="blank">
      <x v="6"/>
    </i>
    <i>
      <x v="7"/>
    </i>
    <i r="1">
      <x/>
      <x v="78"/>
    </i>
    <i r="1">
      <x v="1"/>
      <x v="59"/>
    </i>
    <i r="1">
      <x v="2"/>
      <x v="84"/>
    </i>
    <i r="1">
      <x v="3"/>
      <x v="77"/>
    </i>
    <i r="1">
      <x v="4"/>
      <x v="74"/>
    </i>
    <i r="1">
      <x v="5"/>
      <x v="86"/>
    </i>
    <i r="1">
      <x v="6"/>
      <x v="57"/>
    </i>
    <i r="2">
      <x v="83"/>
    </i>
    <i r="1">
      <x v="8"/>
      <x v="58"/>
    </i>
    <i r="2">
      <x v="70"/>
    </i>
    <i r="1">
      <x v="10"/>
      <x v="72"/>
    </i>
    <i r="1">
      <x v="11"/>
      <x v="42"/>
    </i>
    <i r="2">
      <x v="60"/>
    </i>
    <i r="1">
      <x v="13"/>
      <x v="54"/>
    </i>
    <i r="1">
      <x v="14"/>
      <x v="61"/>
    </i>
    <i r="1">
      <x v="15"/>
      <x/>
    </i>
    <i r="2">
      <x v="46"/>
    </i>
    <i r="2">
      <x v="47"/>
    </i>
    <i r="2">
      <x v="52"/>
    </i>
    <i r="1">
      <x v="19"/>
      <x v="76"/>
    </i>
    <i t="blank">
      <x v="7"/>
    </i>
    <i>
      <x v="8"/>
    </i>
    <i r="1">
      <x/>
      <x v="78"/>
    </i>
    <i r="1">
      <x v="1"/>
      <x v="59"/>
    </i>
    <i r="1">
      <x v="2"/>
      <x v="84"/>
    </i>
    <i r="1">
      <x v="3"/>
      <x v="86"/>
    </i>
    <i r="1">
      <x v="4"/>
      <x v="77"/>
    </i>
    <i r="1">
      <x v="5"/>
      <x v="83"/>
    </i>
    <i r="1">
      <x v="6"/>
      <x v="74"/>
    </i>
    <i r="1">
      <x v="7"/>
      <x v="48"/>
    </i>
    <i r="1">
      <x v="8"/>
      <x/>
    </i>
    <i r="1">
      <x v="9"/>
      <x v="54"/>
    </i>
    <i r="1">
      <x v="10"/>
      <x v="42"/>
    </i>
    <i r="1">
      <x v="11"/>
      <x v="70"/>
    </i>
    <i r="1">
      <x v="12"/>
      <x v="8"/>
    </i>
    <i r="2">
      <x v="58"/>
    </i>
    <i r="2">
      <x v="61"/>
    </i>
    <i r="1">
      <x v="15"/>
      <x v="3"/>
    </i>
    <i r="1">
      <x v="16"/>
      <x v="1"/>
    </i>
    <i r="2">
      <x v="72"/>
    </i>
    <i r="1">
      <x v="18"/>
      <x v="46"/>
    </i>
    <i r="2">
      <x v="47"/>
    </i>
    <i t="blank">
      <x v="8"/>
    </i>
    <i>
      <x v="9"/>
    </i>
    <i r="1">
      <x/>
      <x v="73"/>
    </i>
    <i r="1">
      <x v="1"/>
      <x v="70"/>
    </i>
    <i r="1">
      <x v="2"/>
      <x v="59"/>
    </i>
    <i r="1">
      <x v="3"/>
      <x v="72"/>
    </i>
    <i r="1">
      <x v="4"/>
      <x v="54"/>
    </i>
    <i r="1">
      <x v="5"/>
      <x v="78"/>
    </i>
    <i r="1">
      <x v="6"/>
      <x v="42"/>
    </i>
    <i r="1">
      <x v="7"/>
      <x v="58"/>
    </i>
    <i r="1">
      <x v="8"/>
      <x v="64"/>
    </i>
    <i r="1">
      <x v="9"/>
      <x v="74"/>
    </i>
    <i r="1">
      <x v="10"/>
      <x v="62"/>
    </i>
    <i r="1">
      <x v="11"/>
      <x v="67"/>
    </i>
    <i r="1">
      <x v="12"/>
      <x v="86"/>
    </i>
    <i r="1">
      <x v="13"/>
      <x v="57"/>
    </i>
    <i r="1">
      <x v="14"/>
      <x v="84"/>
    </i>
    <i r="1">
      <x v="15"/>
      <x v="43"/>
    </i>
    <i r="1">
      <x v="16"/>
      <x v="40"/>
    </i>
    <i r="1">
      <x v="17"/>
      <x v="66"/>
    </i>
    <i r="1">
      <x v="18"/>
      <x v="89"/>
    </i>
    <i r="1">
      <x v="19"/>
      <x v="61"/>
    </i>
    <i t="blank">
      <x v="9"/>
    </i>
    <i>
      <x v="10"/>
    </i>
    <i r="1">
      <x/>
      <x v="59"/>
    </i>
    <i r="1">
      <x v="1"/>
      <x v="78"/>
    </i>
    <i r="1">
      <x v="2"/>
      <x v="48"/>
    </i>
    <i r="1">
      <x v="3"/>
      <x v="58"/>
    </i>
    <i r="1">
      <x v="4"/>
      <x v="88"/>
    </i>
    <i r="1">
      <x v="5"/>
      <x v="84"/>
    </i>
    <i r="1">
      <x v="6"/>
      <x/>
    </i>
    <i r="1">
      <x v="7"/>
      <x v="1"/>
    </i>
    <i r="1">
      <x v="8"/>
      <x v="77"/>
    </i>
    <i r="1">
      <x v="9"/>
      <x v="8"/>
    </i>
    <i r="1">
      <x v="10"/>
      <x v="61"/>
    </i>
    <i r="2">
      <x v="86"/>
    </i>
    <i r="1">
      <x v="12"/>
      <x v="3"/>
    </i>
    <i r="1">
      <x v="13"/>
      <x v="7"/>
    </i>
    <i r="1">
      <x v="14"/>
      <x v="54"/>
    </i>
    <i r="1">
      <x v="15"/>
      <x v="83"/>
    </i>
    <i r="1">
      <x v="16"/>
      <x v="28"/>
    </i>
    <i r="1">
      <x v="17"/>
      <x v="74"/>
    </i>
    <i r="1">
      <x v="18"/>
      <x v="70"/>
    </i>
    <i r="1">
      <x v="19"/>
      <x v="67"/>
    </i>
    <i t="blank">
      <x v="10"/>
    </i>
    <i>
      <x v="11"/>
    </i>
    <i r="1">
      <x/>
      <x v="78"/>
    </i>
    <i r="1">
      <x v="1"/>
      <x v="59"/>
    </i>
    <i r="1">
      <x v="2"/>
      <x v="74"/>
    </i>
    <i r="1">
      <x v="3"/>
      <x/>
    </i>
    <i r="1">
      <x v="4"/>
      <x v="73"/>
    </i>
    <i r="2">
      <x v="84"/>
    </i>
    <i r="1">
      <x v="6"/>
      <x v="77"/>
    </i>
    <i r="1">
      <x v="7"/>
      <x v="70"/>
    </i>
    <i r="1">
      <x v="8"/>
      <x v="54"/>
    </i>
    <i r="1">
      <x v="9"/>
      <x v="86"/>
    </i>
    <i r="1">
      <x v="10"/>
      <x v="72"/>
    </i>
    <i r="1">
      <x v="11"/>
      <x v="48"/>
    </i>
    <i r="1">
      <x v="12"/>
      <x v="83"/>
    </i>
    <i r="1">
      <x v="13"/>
      <x v="58"/>
    </i>
    <i r="1">
      <x v="14"/>
      <x v="1"/>
    </i>
    <i r="1">
      <x v="15"/>
      <x v="42"/>
    </i>
    <i r="1">
      <x v="16"/>
      <x v="7"/>
    </i>
    <i r="1">
      <x v="17"/>
      <x v="88"/>
    </i>
    <i r="1">
      <x v="18"/>
      <x v="67"/>
    </i>
    <i r="1">
      <x v="19"/>
      <x v="57"/>
    </i>
    <i t="blank">
      <x v="11"/>
    </i>
    <i>
      <x v="12"/>
    </i>
    <i r="1">
      <x/>
      <x v="59"/>
    </i>
    <i r="1">
      <x v="1"/>
      <x v="78"/>
    </i>
    <i r="1">
      <x v="2"/>
      <x v="72"/>
    </i>
    <i r="1">
      <x v="3"/>
      <x v="74"/>
    </i>
    <i r="1">
      <x v="4"/>
      <x v="86"/>
    </i>
    <i r="1">
      <x v="5"/>
      <x v="77"/>
    </i>
    <i r="1">
      <x v="6"/>
      <x v="70"/>
    </i>
    <i r="1">
      <x v="7"/>
      <x v="73"/>
    </i>
    <i r="1">
      <x v="8"/>
      <x v="84"/>
    </i>
    <i r="1">
      <x v="9"/>
      <x v="54"/>
    </i>
    <i r="1">
      <x v="10"/>
      <x v="61"/>
    </i>
    <i r="1">
      <x v="11"/>
      <x v="8"/>
    </i>
    <i r="1">
      <x v="12"/>
      <x v="47"/>
    </i>
    <i r="1">
      <x v="13"/>
      <x v="7"/>
    </i>
    <i r="1">
      <x v="14"/>
      <x v="57"/>
    </i>
    <i r="1">
      <x v="15"/>
      <x/>
    </i>
    <i r="1">
      <x v="16"/>
      <x v="1"/>
    </i>
    <i r="1">
      <x v="17"/>
      <x v="75"/>
    </i>
    <i r="1">
      <x v="18"/>
      <x v="48"/>
    </i>
    <i r="1">
      <x v="19"/>
      <x v="58"/>
    </i>
    <i t="blank">
      <x v="12"/>
    </i>
    <i>
      <x v="13"/>
    </i>
    <i r="1">
      <x/>
      <x v="78"/>
    </i>
    <i r="1">
      <x v="1"/>
      <x v="84"/>
    </i>
    <i r="1">
      <x v="2"/>
      <x v="59"/>
    </i>
    <i r="1">
      <x v="3"/>
      <x v="74"/>
    </i>
    <i r="2">
      <x v="77"/>
    </i>
    <i r="1">
      <x v="5"/>
      <x v="86"/>
    </i>
    <i r="1">
      <x v="6"/>
      <x v="72"/>
    </i>
    <i r="1">
      <x v="7"/>
      <x v="54"/>
    </i>
    <i r="1">
      <x v="8"/>
      <x v="70"/>
    </i>
    <i r="1">
      <x v="9"/>
      <x v="73"/>
    </i>
    <i r="1">
      <x v="10"/>
      <x v="58"/>
    </i>
    <i r="1">
      <x v="11"/>
      <x v="47"/>
    </i>
    <i r="2">
      <x v="57"/>
    </i>
    <i r="1">
      <x v="13"/>
      <x v="83"/>
    </i>
    <i r="1">
      <x v="14"/>
      <x v="76"/>
    </i>
    <i r="1">
      <x v="15"/>
      <x v="42"/>
    </i>
    <i r="1">
      <x v="16"/>
      <x v="75"/>
    </i>
    <i r="1">
      <x v="17"/>
      <x v="52"/>
    </i>
    <i r="1">
      <x v="18"/>
      <x v="3"/>
    </i>
    <i r="1">
      <x v="19"/>
      <x v="48"/>
    </i>
    <i t="blank">
      <x v="13"/>
    </i>
    <i>
      <x v="14"/>
    </i>
    <i r="1">
      <x/>
      <x v="59"/>
    </i>
    <i r="1">
      <x v="1"/>
      <x v="78"/>
    </i>
    <i r="1">
      <x v="2"/>
      <x v="86"/>
    </i>
    <i r="1">
      <x v="3"/>
      <x v="70"/>
    </i>
    <i r="1">
      <x v="4"/>
      <x v="84"/>
    </i>
    <i r="1">
      <x v="5"/>
      <x v="72"/>
    </i>
    <i r="1">
      <x v="6"/>
      <x v="54"/>
    </i>
    <i r="1">
      <x v="7"/>
      <x v="74"/>
    </i>
    <i r="1">
      <x v="8"/>
      <x v="57"/>
    </i>
    <i r="1">
      <x v="9"/>
      <x v="61"/>
    </i>
    <i r="1">
      <x v="10"/>
      <x v="77"/>
    </i>
    <i r="1">
      <x v="11"/>
      <x v="42"/>
    </i>
    <i r="1">
      <x v="12"/>
      <x v="58"/>
    </i>
    <i r="2">
      <x v="73"/>
    </i>
    <i r="1">
      <x v="14"/>
      <x v="83"/>
    </i>
    <i r="1">
      <x v="15"/>
      <x v="76"/>
    </i>
    <i r="1">
      <x v="16"/>
      <x v="47"/>
    </i>
    <i r="1">
      <x v="17"/>
      <x v="1"/>
    </i>
    <i r="1">
      <x v="18"/>
      <x v="46"/>
    </i>
    <i r="2">
      <x v="67"/>
    </i>
    <i t="blank">
      <x v="14"/>
    </i>
    <i>
      <x v="15"/>
    </i>
    <i r="1">
      <x/>
      <x v="59"/>
    </i>
    <i r="1">
      <x v="1"/>
      <x v="78"/>
    </i>
    <i r="1">
      <x v="2"/>
      <x/>
    </i>
    <i r="2">
      <x v="74"/>
    </i>
    <i r="1">
      <x v="4"/>
      <x v="77"/>
    </i>
    <i r="1">
      <x v="5"/>
      <x v="60"/>
    </i>
    <i r="2">
      <x v="86"/>
    </i>
    <i r="1">
      <x v="7"/>
      <x v="42"/>
    </i>
    <i r="1">
      <x v="8"/>
      <x v="73"/>
    </i>
    <i r="1">
      <x v="9"/>
      <x v="54"/>
    </i>
    <i r="1">
      <x v="10"/>
      <x v="84"/>
    </i>
    <i r="1">
      <x v="11"/>
      <x v="70"/>
    </i>
    <i r="1">
      <x v="12"/>
      <x v="72"/>
    </i>
    <i r="2">
      <x v="88"/>
    </i>
    <i r="1">
      <x v="14"/>
      <x v="48"/>
    </i>
    <i r="2">
      <x v="52"/>
    </i>
    <i r="1">
      <x v="16"/>
      <x v="58"/>
    </i>
    <i r="2">
      <x v="67"/>
    </i>
    <i r="1">
      <x v="18"/>
      <x v="47"/>
    </i>
    <i r="1">
      <x v="19"/>
      <x v="7"/>
    </i>
    <i t="blank">
      <x v="15"/>
    </i>
    <i>
      <x v="16"/>
    </i>
    <i r="1">
      <x/>
      <x v="59"/>
    </i>
    <i r="1">
      <x v="1"/>
      <x v="86"/>
    </i>
    <i r="1">
      <x v="2"/>
      <x v="78"/>
    </i>
    <i r="1">
      <x v="3"/>
      <x v="70"/>
    </i>
    <i r="1">
      <x v="4"/>
      <x v="57"/>
    </i>
    <i r="1">
      <x v="5"/>
      <x v="42"/>
    </i>
    <i r="2">
      <x v="61"/>
    </i>
    <i r="1">
      <x v="7"/>
      <x v="84"/>
    </i>
    <i r="1">
      <x v="8"/>
      <x v="58"/>
    </i>
    <i r="1">
      <x v="9"/>
      <x v="54"/>
    </i>
    <i r="1">
      <x v="10"/>
      <x v="65"/>
    </i>
    <i r="1">
      <x v="11"/>
      <x v="79"/>
    </i>
    <i r="1">
      <x v="12"/>
      <x v="66"/>
    </i>
    <i r="2">
      <x v="74"/>
    </i>
    <i r="1">
      <x v="14"/>
      <x v="76"/>
    </i>
    <i r="1">
      <x v="15"/>
      <x v="46"/>
    </i>
    <i r="1">
      <x v="16"/>
      <x v="40"/>
    </i>
    <i r="1">
      <x v="17"/>
      <x v="47"/>
    </i>
    <i r="2">
      <x v="52"/>
    </i>
    <i r="1">
      <x v="19"/>
      <x v="85"/>
    </i>
    <i t="blank">
      <x v="16"/>
    </i>
    <i>
      <x v="17"/>
    </i>
    <i r="1">
      <x/>
      <x v="78"/>
    </i>
    <i r="1">
      <x v="1"/>
      <x v="59"/>
    </i>
    <i r="1">
      <x v="2"/>
      <x v="72"/>
    </i>
    <i r="1">
      <x v="3"/>
      <x v="86"/>
    </i>
    <i r="1">
      <x v="4"/>
      <x v="84"/>
    </i>
    <i r="1">
      <x v="5"/>
      <x v="74"/>
    </i>
    <i r="2">
      <x v="77"/>
    </i>
    <i r="1">
      <x v="7"/>
      <x v="70"/>
    </i>
    <i r="1">
      <x v="8"/>
      <x/>
    </i>
    <i r="2">
      <x v="7"/>
    </i>
    <i r="1">
      <x v="10"/>
      <x v="73"/>
    </i>
    <i r="1">
      <x v="11"/>
      <x v="58"/>
    </i>
    <i r="1">
      <x v="12"/>
      <x v="48"/>
    </i>
    <i r="1">
      <x v="13"/>
      <x v="61"/>
    </i>
    <i r="1">
      <x v="14"/>
      <x v="54"/>
    </i>
    <i r="1">
      <x v="15"/>
      <x v="57"/>
    </i>
    <i r="1">
      <x v="16"/>
      <x v="8"/>
    </i>
    <i r="1">
      <x v="17"/>
      <x v="1"/>
    </i>
    <i r="2">
      <x v="83"/>
    </i>
    <i r="1">
      <x v="19"/>
      <x v="47"/>
    </i>
    <i t="blank">
      <x v="17"/>
    </i>
    <i>
      <x v="18"/>
    </i>
    <i r="1">
      <x/>
      <x v="59"/>
    </i>
    <i r="1">
      <x v="1"/>
      <x v="78"/>
    </i>
    <i r="1">
      <x v="2"/>
      <x v="74"/>
    </i>
    <i r="1">
      <x v="3"/>
      <x v="84"/>
    </i>
    <i r="1">
      <x v="4"/>
      <x v="54"/>
    </i>
    <i r="1">
      <x v="5"/>
      <x v="77"/>
    </i>
    <i r="1">
      <x v="6"/>
      <x v="86"/>
    </i>
    <i r="1">
      <x v="7"/>
      <x v="7"/>
    </i>
    <i r="1">
      <x v="8"/>
      <x v="60"/>
    </i>
    <i r="2">
      <x v="73"/>
    </i>
    <i r="2">
      <x v="83"/>
    </i>
    <i r="1">
      <x v="11"/>
      <x/>
    </i>
    <i r="1">
      <x v="12"/>
      <x v="48"/>
    </i>
    <i r="2">
      <x v="70"/>
    </i>
    <i r="1">
      <x v="14"/>
      <x v="46"/>
    </i>
    <i r="2">
      <x v="72"/>
    </i>
    <i r="1">
      <x v="16"/>
      <x v="1"/>
    </i>
    <i r="2">
      <x v="9"/>
    </i>
    <i r="2">
      <x v="45"/>
    </i>
    <i r="2">
      <x v="88"/>
    </i>
    <i t="blank">
      <x v="18"/>
    </i>
    <i>
      <x v="19"/>
    </i>
    <i r="1">
      <x/>
      <x v="78"/>
    </i>
    <i r="1">
      <x v="1"/>
      <x v="68"/>
    </i>
    <i r="1">
      <x v="2"/>
      <x v="74"/>
    </i>
    <i r="1">
      <x v="3"/>
      <x v="59"/>
    </i>
    <i r="1">
      <x v="4"/>
      <x v="23"/>
    </i>
    <i r="1">
      <x v="5"/>
      <x v="73"/>
    </i>
    <i r="1">
      <x v="6"/>
      <x v="70"/>
    </i>
    <i r="2">
      <x v="77"/>
    </i>
    <i r="1">
      <x v="8"/>
      <x v="54"/>
    </i>
    <i r="1">
      <x v="9"/>
      <x/>
    </i>
    <i r="1">
      <x v="10"/>
      <x v="2"/>
    </i>
    <i r="2">
      <x v="46"/>
    </i>
    <i r="1">
      <x v="12"/>
      <x v="48"/>
    </i>
    <i r="2">
      <x v="72"/>
    </i>
    <i r="1">
      <x v="14"/>
      <x v="84"/>
    </i>
    <i r="1">
      <x v="15"/>
      <x v="7"/>
    </i>
    <i r="2">
      <x v="86"/>
    </i>
    <i r="1">
      <x v="17"/>
      <x v="52"/>
    </i>
    <i r="1">
      <x v="18"/>
      <x v="47"/>
    </i>
    <i r="1">
      <x v="19"/>
      <x v="1"/>
    </i>
    <i t="blank">
      <x v="19"/>
    </i>
    <i>
      <x v="20"/>
    </i>
    <i r="1">
      <x/>
      <x v="78"/>
    </i>
    <i r="1">
      <x v="1"/>
      <x v="59"/>
    </i>
    <i r="1">
      <x v="2"/>
      <x v="74"/>
    </i>
    <i r="1">
      <x v="3"/>
      <x v="84"/>
    </i>
    <i r="1">
      <x v="4"/>
      <x v="77"/>
    </i>
    <i r="1">
      <x v="5"/>
      <x v="86"/>
    </i>
    <i r="1">
      <x v="6"/>
      <x v="72"/>
    </i>
    <i r="1">
      <x v="7"/>
      <x/>
    </i>
    <i r="1">
      <x v="8"/>
      <x v="70"/>
    </i>
    <i r="1">
      <x v="9"/>
      <x v="48"/>
    </i>
    <i r="1">
      <x v="10"/>
      <x v="8"/>
    </i>
    <i r="1">
      <x v="11"/>
      <x v="73"/>
    </i>
    <i r="1">
      <x v="12"/>
      <x v="83"/>
    </i>
    <i r="1">
      <x v="13"/>
      <x v="7"/>
    </i>
    <i r="2">
      <x v="54"/>
    </i>
    <i r="2">
      <x v="57"/>
    </i>
    <i r="1">
      <x v="16"/>
      <x v="60"/>
    </i>
    <i r="1">
      <x v="17"/>
      <x v="58"/>
    </i>
    <i r="1">
      <x v="18"/>
      <x v="1"/>
    </i>
    <i r="1">
      <x v="19"/>
      <x v="2"/>
    </i>
    <i t="blank">
      <x v="20"/>
    </i>
    <i>
      <x v="21"/>
    </i>
    <i r="1">
      <x/>
      <x v="78"/>
    </i>
    <i r="1">
      <x v="1"/>
      <x v="77"/>
    </i>
    <i r="1">
      <x v="2"/>
      <x v="59"/>
    </i>
    <i r="1">
      <x v="3"/>
      <x v="70"/>
    </i>
    <i r="2">
      <x v="74"/>
    </i>
    <i r="1">
      <x v="5"/>
      <x v="48"/>
    </i>
    <i r="2">
      <x v="73"/>
    </i>
    <i r="2">
      <x v="86"/>
    </i>
    <i r="1">
      <x v="8"/>
      <x/>
    </i>
    <i r="1">
      <x v="9"/>
      <x v="83"/>
    </i>
    <i r="1">
      <x v="10"/>
      <x v="7"/>
    </i>
    <i r="2">
      <x v="54"/>
    </i>
    <i r="1">
      <x v="12"/>
      <x v="53"/>
    </i>
    <i r="2">
      <x v="72"/>
    </i>
    <i r="2">
      <x v="84"/>
    </i>
    <i r="1">
      <x v="15"/>
      <x v="42"/>
    </i>
    <i r="2">
      <x v="46"/>
    </i>
    <i r="2">
      <x v="47"/>
    </i>
    <i r="1">
      <x v="18"/>
      <x v="1"/>
    </i>
    <i r="1">
      <x v="19"/>
      <x v="2"/>
    </i>
    <i r="2">
      <x v="52"/>
    </i>
    <i t="blank">
      <x v="21"/>
    </i>
    <i>
      <x v="22"/>
    </i>
    <i r="1">
      <x/>
      <x v="78"/>
    </i>
    <i r="1">
      <x v="1"/>
      <x v="13"/>
    </i>
    <i r="1">
      <x v="2"/>
      <x v="77"/>
    </i>
    <i r="1">
      <x v="3"/>
      <x v="15"/>
    </i>
    <i r="1">
      <x v="4"/>
      <x v="70"/>
    </i>
    <i r="1">
      <x v="5"/>
      <x v="48"/>
    </i>
    <i r="1">
      <x v="6"/>
      <x v="1"/>
    </i>
    <i r="1">
      <x v="7"/>
      <x/>
    </i>
    <i r="2">
      <x v="14"/>
    </i>
    <i r="1">
      <x v="9"/>
      <x v="54"/>
    </i>
    <i r="1">
      <x v="10"/>
      <x v="72"/>
    </i>
    <i r="1">
      <x v="11"/>
      <x v="7"/>
    </i>
    <i r="2">
      <x v="49"/>
    </i>
    <i r="2">
      <x v="88"/>
    </i>
    <i r="1">
      <x v="14"/>
      <x v="59"/>
    </i>
    <i r="1">
      <x v="15"/>
      <x v="74"/>
    </i>
    <i r="2">
      <x v="86"/>
    </i>
    <i r="1">
      <x v="17"/>
      <x v="84"/>
    </i>
    <i r="1">
      <x v="18"/>
      <x v="47"/>
    </i>
    <i r="2">
      <x v="52"/>
    </i>
    <i t="blank">
      <x v="22"/>
    </i>
    <i>
      <x v="23"/>
    </i>
    <i r="1">
      <x/>
      <x v="59"/>
    </i>
    <i r="1">
      <x v="1"/>
      <x v="78"/>
    </i>
    <i r="1">
      <x v="2"/>
      <x/>
    </i>
    <i r="1">
      <x v="3"/>
      <x v="84"/>
    </i>
    <i r="1">
      <x v="4"/>
      <x v="86"/>
    </i>
    <i r="1">
      <x v="5"/>
      <x v="58"/>
    </i>
    <i r="1">
      <x v="6"/>
      <x v="70"/>
    </i>
    <i r="1">
      <x v="7"/>
      <x v="54"/>
    </i>
    <i r="2">
      <x v="61"/>
    </i>
    <i r="1">
      <x v="9"/>
      <x v="74"/>
    </i>
    <i r="1">
      <x v="10"/>
      <x v="57"/>
    </i>
    <i r="1">
      <x v="11"/>
      <x v="72"/>
    </i>
    <i r="1">
      <x v="12"/>
      <x v="42"/>
    </i>
    <i r="2">
      <x v="77"/>
    </i>
    <i r="1">
      <x v="14"/>
      <x v="76"/>
    </i>
    <i r="1">
      <x v="15"/>
      <x v="83"/>
    </i>
    <i r="1">
      <x v="16"/>
      <x v="48"/>
    </i>
    <i r="1">
      <x v="17"/>
      <x v="46"/>
    </i>
    <i r="1">
      <x v="18"/>
      <x v="55"/>
    </i>
    <i r="1">
      <x v="19"/>
      <x v="47"/>
    </i>
    <i t="blank">
      <x v="23"/>
    </i>
    <i>
      <x v="24"/>
    </i>
    <i r="1">
      <x/>
      <x v="27"/>
    </i>
    <i r="1">
      <x v="1"/>
      <x v="78"/>
    </i>
    <i r="1">
      <x v="2"/>
      <x v="40"/>
    </i>
    <i r="1">
      <x v="3"/>
      <x v="77"/>
    </i>
    <i r="1">
      <x v="4"/>
      <x v="74"/>
    </i>
    <i r="1">
      <x v="5"/>
      <x/>
    </i>
    <i r="1">
      <x v="6"/>
      <x v="70"/>
    </i>
    <i r="1">
      <x v="7"/>
      <x v="48"/>
    </i>
    <i r="1">
      <x v="8"/>
      <x v="84"/>
    </i>
    <i r="1">
      <x v="9"/>
      <x v="1"/>
    </i>
    <i r="1">
      <x v="10"/>
      <x v="54"/>
    </i>
    <i r="2">
      <x v="88"/>
    </i>
    <i r="1">
      <x v="12"/>
      <x v="86"/>
    </i>
    <i r="1">
      <x v="13"/>
      <x v="59"/>
    </i>
    <i r="1">
      <x v="14"/>
      <x v="47"/>
    </i>
    <i r="2">
      <x v="72"/>
    </i>
    <i r="1">
      <x v="16"/>
      <x v="8"/>
    </i>
    <i r="1">
      <x v="17"/>
      <x v="2"/>
    </i>
    <i r="2">
      <x v="83"/>
    </i>
    <i r="1">
      <x v="19"/>
      <x v="7"/>
    </i>
    <i r="2">
      <x v="73"/>
    </i>
    <i t="blank">
      <x v="24"/>
    </i>
    <i>
      <x v="25"/>
    </i>
    <i r="1">
      <x/>
      <x v="78"/>
    </i>
    <i r="1">
      <x v="1"/>
      <x v="74"/>
    </i>
    <i r="1">
      <x v="2"/>
      <x v="84"/>
    </i>
    <i r="1">
      <x v="3"/>
      <x v="77"/>
    </i>
    <i r="1">
      <x v="4"/>
      <x v="72"/>
    </i>
    <i r="1">
      <x v="5"/>
      <x v="59"/>
    </i>
    <i r="1">
      <x v="6"/>
      <x/>
    </i>
    <i r="2">
      <x v="73"/>
    </i>
    <i r="1">
      <x v="8"/>
      <x v="8"/>
    </i>
    <i r="1">
      <x v="9"/>
      <x v="70"/>
    </i>
    <i r="1">
      <x v="10"/>
      <x v="86"/>
    </i>
    <i r="1">
      <x v="11"/>
      <x v="83"/>
    </i>
    <i r="1">
      <x v="12"/>
      <x v="52"/>
    </i>
    <i r="1">
      <x v="13"/>
      <x v="7"/>
    </i>
    <i r="1">
      <x v="14"/>
      <x v="54"/>
    </i>
    <i r="1">
      <x v="15"/>
      <x v="47"/>
    </i>
    <i r="2">
      <x v="58"/>
    </i>
    <i r="1">
      <x v="17"/>
      <x v="48"/>
    </i>
    <i r="2">
      <x v="60"/>
    </i>
    <i r="2">
      <x v="75"/>
    </i>
    <i t="blank">
      <x v="25"/>
    </i>
    <i>
      <x v="26"/>
    </i>
    <i r="1">
      <x/>
      <x v="78"/>
    </i>
    <i r="1">
      <x v="1"/>
      <x v="59"/>
    </i>
    <i r="1">
      <x v="2"/>
      <x v="84"/>
    </i>
    <i r="1">
      <x v="3"/>
      <x v="58"/>
    </i>
    <i r="2">
      <x v="86"/>
    </i>
    <i r="1">
      <x v="5"/>
      <x/>
    </i>
    <i r="1">
      <x v="6"/>
      <x v="48"/>
    </i>
    <i r="1">
      <x v="7"/>
      <x v="72"/>
    </i>
    <i r="2">
      <x v="74"/>
    </i>
    <i r="1">
      <x v="9"/>
      <x v="70"/>
    </i>
    <i r="1">
      <x v="10"/>
      <x v="54"/>
    </i>
    <i r="1">
      <x v="11"/>
      <x v="61"/>
    </i>
    <i r="1">
      <x v="12"/>
      <x v="73"/>
    </i>
    <i r="1">
      <x v="13"/>
      <x v="76"/>
    </i>
    <i r="1">
      <x v="14"/>
      <x v="77"/>
    </i>
    <i r="1">
      <x v="15"/>
      <x v="83"/>
    </i>
    <i r="1">
      <x v="16"/>
      <x v="49"/>
    </i>
    <i r="1">
      <x v="17"/>
      <x v="8"/>
    </i>
    <i r="1">
      <x v="18"/>
      <x v="42"/>
    </i>
    <i r="2">
      <x v="47"/>
    </i>
    <i t="blank">
      <x v="26"/>
    </i>
    <i>
      <x v="27"/>
    </i>
    <i r="1">
      <x/>
      <x v="27"/>
    </i>
    <i r="1">
      <x v="1"/>
      <x v="78"/>
    </i>
    <i r="1">
      <x v="2"/>
      <x v="48"/>
    </i>
    <i r="2">
      <x v="59"/>
    </i>
    <i r="1">
      <x v="4"/>
      <x v="73"/>
    </i>
    <i r="1">
      <x v="5"/>
      <x v="40"/>
    </i>
    <i r="1">
      <x v="6"/>
      <x v="74"/>
    </i>
    <i r="1">
      <x v="7"/>
      <x/>
    </i>
    <i r="2">
      <x v="77"/>
    </i>
    <i r="1">
      <x v="9"/>
      <x v="2"/>
    </i>
    <i r="1">
      <x v="10"/>
      <x v="84"/>
    </i>
    <i r="1">
      <x v="11"/>
      <x v="52"/>
    </i>
    <i r="2">
      <x v="54"/>
    </i>
    <i r="2">
      <x v="70"/>
    </i>
    <i r="2">
      <x v="86"/>
    </i>
    <i r="1">
      <x v="15"/>
      <x v="67"/>
    </i>
    <i r="1">
      <x v="16"/>
      <x v="1"/>
    </i>
    <i r="2">
      <x v="7"/>
    </i>
    <i r="2">
      <x v="28"/>
    </i>
    <i r="2">
      <x v="34"/>
    </i>
    <i r="2">
      <x v="72"/>
    </i>
    <i t="blank">
      <x v="27"/>
    </i>
    <i>
      <x v="28"/>
    </i>
    <i r="1">
      <x/>
      <x v="78"/>
    </i>
    <i r="1">
      <x v="1"/>
      <x/>
    </i>
    <i r="1">
      <x v="2"/>
      <x v="59"/>
    </i>
    <i r="1">
      <x v="3"/>
      <x v="70"/>
    </i>
    <i r="1">
      <x v="4"/>
      <x v="54"/>
    </i>
    <i r="2">
      <x v="58"/>
    </i>
    <i r="1">
      <x v="6"/>
      <x v="86"/>
    </i>
    <i r="1">
      <x v="7"/>
      <x v="77"/>
    </i>
    <i r="1">
      <x v="8"/>
      <x v="48"/>
    </i>
    <i r="2">
      <x v="84"/>
    </i>
    <i r="1">
      <x v="10"/>
      <x v="47"/>
    </i>
    <i r="2">
      <x v="74"/>
    </i>
    <i r="1">
      <x v="12"/>
      <x v="67"/>
    </i>
    <i r="1">
      <x v="13"/>
      <x v="76"/>
    </i>
    <i r="1">
      <x v="14"/>
      <x v="83"/>
    </i>
    <i r="1">
      <x v="15"/>
      <x v="3"/>
    </i>
    <i r="1">
      <x v="16"/>
      <x v="88"/>
    </i>
    <i r="1">
      <x v="17"/>
      <x v="7"/>
    </i>
    <i r="2">
      <x v="40"/>
    </i>
    <i r="2">
      <x v="63"/>
    </i>
    <i t="blank">
      <x v="28"/>
    </i>
    <i>
      <x v="29"/>
    </i>
    <i r="1">
      <x/>
      <x/>
    </i>
    <i r="1">
      <x v="1"/>
      <x v="78"/>
    </i>
    <i r="1">
      <x v="2"/>
      <x v="77"/>
    </i>
    <i r="1">
      <x v="3"/>
      <x v="48"/>
    </i>
    <i r="1">
      <x v="4"/>
      <x v="74"/>
    </i>
    <i r="1">
      <x v="5"/>
      <x v="7"/>
    </i>
    <i r="2">
      <x v="32"/>
    </i>
    <i r="1">
      <x v="7"/>
      <x v="29"/>
    </i>
    <i r="1">
      <x v="8"/>
      <x v="27"/>
    </i>
    <i r="2">
      <x v="52"/>
    </i>
    <i r="1">
      <x v="10"/>
      <x v="1"/>
    </i>
    <i r="2">
      <x v="30"/>
    </i>
    <i r="2">
      <x v="49"/>
    </i>
    <i r="1">
      <x v="13"/>
      <x v="47"/>
    </i>
    <i r="2">
      <x v="53"/>
    </i>
    <i r="2">
      <x v="54"/>
    </i>
    <i r="2">
      <x v="76"/>
    </i>
    <i r="2">
      <x v="84"/>
    </i>
    <i r="2">
      <x v="88"/>
    </i>
    <i r="1">
      <x v="19"/>
      <x v="18"/>
    </i>
    <i t="blank">
      <x v="29"/>
    </i>
    <i>
      <x v="30"/>
    </i>
    <i r="1">
      <x/>
      <x/>
    </i>
    <i r="1">
      <x v="1"/>
      <x v="74"/>
    </i>
    <i r="1">
      <x v="2"/>
      <x v="78"/>
    </i>
    <i r="1">
      <x v="3"/>
      <x v="25"/>
    </i>
    <i r="1">
      <x v="4"/>
      <x v="59"/>
    </i>
    <i r="1">
      <x v="5"/>
      <x v="70"/>
    </i>
    <i r="1">
      <x v="6"/>
      <x v="54"/>
    </i>
    <i r="1">
      <x v="7"/>
      <x v="2"/>
    </i>
    <i r="2">
      <x v="77"/>
    </i>
    <i r="1">
      <x v="9"/>
      <x v="46"/>
    </i>
    <i r="2">
      <x v="51"/>
    </i>
    <i r="1">
      <x v="11"/>
      <x v="48"/>
    </i>
    <i r="1">
      <x v="12"/>
      <x v="1"/>
    </i>
    <i r="1">
      <x v="13"/>
      <x v="47"/>
    </i>
    <i r="1">
      <x v="14"/>
      <x v="86"/>
    </i>
    <i r="1">
      <x v="15"/>
      <x v="5"/>
    </i>
    <i r="1">
      <x v="16"/>
      <x v="57"/>
    </i>
    <i r="1">
      <x v="17"/>
      <x v="8"/>
    </i>
    <i r="2">
      <x v="67"/>
    </i>
    <i r="1">
      <x v="19"/>
      <x v="6"/>
    </i>
    <i r="2">
      <x v="49"/>
    </i>
    <i r="2">
      <x v="50"/>
    </i>
    <i r="2">
      <x v="52"/>
    </i>
    <i t="blank">
      <x v="30"/>
    </i>
    <i>
      <x v="31"/>
    </i>
    <i r="1">
      <x/>
      <x v="68"/>
    </i>
    <i r="1">
      <x v="1"/>
      <x/>
    </i>
    <i r="1">
      <x v="2"/>
      <x v="78"/>
    </i>
    <i r="1">
      <x v="3"/>
      <x v="54"/>
    </i>
    <i r="2">
      <x v="59"/>
    </i>
    <i r="1">
      <x v="5"/>
      <x v="77"/>
    </i>
    <i r="1">
      <x v="6"/>
      <x v="83"/>
    </i>
    <i r="1">
      <x v="7"/>
      <x v="48"/>
    </i>
    <i r="2">
      <x v="74"/>
    </i>
    <i r="1">
      <x v="9"/>
      <x v="2"/>
    </i>
    <i r="1">
      <x v="10"/>
      <x v="7"/>
    </i>
    <i r="2">
      <x v="42"/>
    </i>
    <i r="2">
      <x v="47"/>
    </i>
    <i r="1">
      <x v="13"/>
      <x v="52"/>
    </i>
    <i r="2">
      <x v="67"/>
    </i>
    <i r="1">
      <x v="15"/>
      <x v="45"/>
    </i>
    <i r="2">
      <x v="53"/>
    </i>
    <i r="1">
      <x v="17"/>
      <x v="70"/>
    </i>
    <i r="2">
      <x v="84"/>
    </i>
    <i r="1">
      <x v="19"/>
      <x v="1"/>
    </i>
    <i r="2">
      <x v="8"/>
    </i>
    <i r="2">
      <x v="49"/>
    </i>
    <i r="2">
      <x v="58"/>
    </i>
    <i t="blank">
      <x v="31"/>
    </i>
    <i>
      <x v="32"/>
    </i>
    <i r="1">
      <x/>
      <x v="78"/>
    </i>
    <i r="1">
      <x v="1"/>
      <x/>
    </i>
    <i r="1">
      <x v="2"/>
      <x v="77"/>
    </i>
    <i r="1">
      <x v="3"/>
      <x v="2"/>
    </i>
    <i r="1">
      <x v="4"/>
      <x v="48"/>
    </i>
    <i r="1">
      <x v="5"/>
      <x v="1"/>
    </i>
    <i r="1">
      <x v="6"/>
      <x v="7"/>
    </i>
    <i r="1">
      <x v="7"/>
      <x v="70"/>
    </i>
    <i r="2">
      <x v="84"/>
    </i>
    <i r="1">
      <x v="9"/>
      <x v="54"/>
    </i>
    <i r="2">
      <x v="59"/>
    </i>
    <i r="1">
      <x v="11"/>
      <x v="6"/>
    </i>
    <i r="2">
      <x v="52"/>
    </i>
    <i r="1">
      <x v="13"/>
      <x v="8"/>
    </i>
    <i r="2">
      <x v="46"/>
    </i>
    <i r="1">
      <x v="15"/>
      <x v="42"/>
    </i>
    <i r="2">
      <x v="74"/>
    </i>
    <i r="1">
      <x v="17"/>
      <x v="4"/>
    </i>
    <i r="1">
      <x v="18"/>
      <x v="83"/>
    </i>
    <i r="1">
      <x v="19"/>
      <x v="53"/>
    </i>
    <i r="2">
      <x v="67"/>
    </i>
    <i t="blank">
      <x v="32"/>
    </i>
    <i>
      <x v="33"/>
    </i>
    <i r="1">
      <x/>
      <x v="59"/>
    </i>
    <i r="1">
      <x v="1"/>
      <x v="78"/>
    </i>
    <i r="1">
      <x v="2"/>
      <x v="24"/>
    </i>
    <i r="1">
      <x v="3"/>
      <x v="77"/>
    </i>
    <i r="1">
      <x v="4"/>
      <x v="74"/>
    </i>
    <i r="1">
      <x v="5"/>
      <x v="88"/>
    </i>
    <i r="1">
      <x v="6"/>
      <x v="54"/>
    </i>
    <i r="1">
      <x v="7"/>
      <x/>
    </i>
    <i r="1">
      <x v="8"/>
      <x v="1"/>
    </i>
    <i r="1">
      <x v="9"/>
      <x v="47"/>
    </i>
    <i r="2">
      <x v="70"/>
    </i>
    <i r="1">
      <x v="11"/>
      <x v="36"/>
    </i>
    <i r="2">
      <x v="48"/>
    </i>
    <i r="1">
      <x v="13"/>
      <x v="84"/>
    </i>
    <i r="1">
      <x v="14"/>
      <x v="46"/>
    </i>
    <i r="2">
      <x v="68"/>
    </i>
    <i r="2">
      <x v="86"/>
    </i>
    <i r="1">
      <x v="17"/>
      <x v="38"/>
    </i>
    <i r="1">
      <x v="18"/>
      <x v="11"/>
    </i>
    <i r="2">
      <x v="42"/>
    </i>
    <i r="2">
      <x v="45"/>
    </i>
    <i t="blank">
      <x v="33"/>
    </i>
    <i>
      <x v="34"/>
    </i>
    <i r="1">
      <x/>
      <x v="78"/>
    </i>
    <i r="1">
      <x v="1"/>
      <x v="59"/>
    </i>
    <i r="1">
      <x v="2"/>
      <x/>
    </i>
    <i r="1">
      <x v="3"/>
      <x v="74"/>
    </i>
    <i r="1">
      <x v="4"/>
      <x v="48"/>
    </i>
    <i r="2">
      <x v="54"/>
    </i>
    <i r="1">
      <x v="6"/>
      <x v="77"/>
    </i>
    <i r="1">
      <x v="7"/>
      <x v="84"/>
    </i>
    <i r="1">
      <x v="8"/>
      <x v="2"/>
    </i>
    <i r="2">
      <x v="70"/>
    </i>
    <i r="1">
      <x v="10"/>
      <x v="7"/>
    </i>
    <i r="2">
      <x v="52"/>
    </i>
    <i r="1">
      <x v="12"/>
      <x v="42"/>
    </i>
    <i r="2">
      <x v="73"/>
    </i>
    <i r="1">
      <x v="14"/>
      <x v="6"/>
    </i>
    <i r="2">
      <x v="67"/>
    </i>
    <i r="2">
      <x v="72"/>
    </i>
    <i r="1">
      <x v="17"/>
      <x v="1"/>
    </i>
    <i r="2">
      <x v="86"/>
    </i>
    <i r="1">
      <x v="19"/>
      <x v="47"/>
    </i>
    <i r="2">
      <x v="50"/>
    </i>
    <i r="2">
      <x v="88"/>
    </i>
    <i t="blank">
      <x v="34"/>
    </i>
    <i>
      <x v="35"/>
    </i>
    <i r="1">
      <x/>
      <x/>
    </i>
    <i r="1">
      <x v="1"/>
      <x v="10"/>
    </i>
    <i r="1">
      <x v="2"/>
      <x v="78"/>
    </i>
    <i r="1">
      <x v="3"/>
      <x v="74"/>
    </i>
    <i r="1">
      <x v="4"/>
      <x v="54"/>
    </i>
    <i r="1">
      <x v="5"/>
      <x v="77"/>
    </i>
    <i r="1">
      <x v="6"/>
      <x v="47"/>
    </i>
    <i r="2">
      <x v="70"/>
    </i>
    <i r="1">
      <x v="8"/>
      <x v="48"/>
    </i>
    <i r="1">
      <x v="9"/>
      <x v="45"/>
    </i>
    <i r="1">
      <x v="10"/>
      <x v="35"/>
    </i>
    <i r="1">
      <x v="11"/>
      <x v="46"/>
    </i>
    <i r="2">
      <x v="68"/>
    </i>
    <i r="2">
      <x v="75"/>
    </i>
    <i r="1">
      <x v="14"/>
      <x v="86"/>
    </i>
    <i r="1">
      <x v="15"/>
      <x v="59"/>
    </i>
    <i r="1">
      <x v="16"/>
      <x v="76"/>
    </i>
    <i r="1">
      <x v="17"/>
      <x v="49"/>
    </i>
    <i r="2">
      <x v="52"/>
    </i>
    <i r="1">
      <x v="19"/>
      <x v="84"/>
    </i>
    <i t="blank">
      <x v="35"/>
    </i>
    <i>
      <x v="36"/>
    </i>
    <i r="1">
      <x/>
      <x v="11"/>
    </i>
    <i r="1">
      <x v="1"/>
      <x/>
    </i>
    <i r="1">
      <x v="2"/>
      <x v="78"/>
    </i>
    <i r="1">
      <x v="3"/>
      <x v="2"/>
    </i>
    <i r="1">
      <x v="4"/>
      <x v="77"/>
    </i>
    <i r="1">
      <x v="5"/>
      <x v="84"/>
    </i>
    <i r="1">
      <x v="6"/>
      <x v="7"/>
    </i>
    <i r="1">
      <x v="7"/>
      <x v="74"/>
    </i>
    <i r="1">
      <x v="8"/>
      <x v="48"/>
    </i>
    <i r="1">
      <x v="9"/>
      <x v="54"/>
    </i>
    <i r="1">
      <x v="10"/>
      <x v="5"/>
    </i>
    <i r="1">
      <x v="11"/>
      <x v="86"/>
    </i>
    <i r="1">
      <x v="12"/>
      <x v="1"/>
    </i>
    <i r="1">
      <x v="13"/>
      <x v="8"/>
    </i>
    <i r="1">
      <x v="14"/>
      <x v="4"/>
    </i>
    <i r="1">
      <x v="15"/>
      <x v="42"/>
    </i>
    <i r="2">
      <x v="52"/>
    </i>
    <i r="1">
      <x v="17"/>
      <x v="47"/>
    </i>
    <i r="2">
      <x v="59"/>
    </i>
    <i r="1">
      <x v="19"/>
      <x v="53"/>
    </i>
    <i r="2">
      <x v="67"/>
    </i>
    <i r="2">
      <x v="69"/>
    </i>
    <i r="2">
      <x v="83"/>
    </i>
    <i r="2">
      <x v="88"/>
    </i>
    <i t="blank">
      <x v="36"/>
    </i>
    <i>
      <x v="37"/>
    </i>
    <i r="1">
      <x/>
      <x v="78"/>
    </i>
    <i r="1">
      <x v="1"/>
      <x/>
    </i>
    <i r="1">
      <x v="2"/>
      <x v="77"/>
    </i>
    <i r="1">
      <x v="3"/>
      <x v="59"/>
    </i>
    <i r="1">
      <x v="4"/>
      <x v="48"/>
    </i>
    <i r="1">
      <x v="5"/>
      <x v="33"/>
    </i>
    <i r="1">
      <x v="6"/>
      <x v="2"/>
    </i>
    <i r="2">
      <x v="72"/>
    </i>
    <i r="1">
      <x v="8"/>
      <x v="1"/>
    </i>
    <i r="2">
      <x v="70"/>
    </i>
    <i r="2">
      <x v="74"/>
    </i>
    <i r="1">
      <x v="11"/>
      <x v="47"/>
    </i>
    <i r="2">
      <x v="69"/>
    </i>
    <i r="1">
      <x v="13"/>
      <x v="88"/>
    </i>
    <i r="1">
      <x v="14"/>
      <x v="49"/>
    </i>
    <i r="2">
      <x v="76"/>
    </i>
    <i r="1">
      <x v="16"/>
      <x v="7"/>
    </i>
    <i r="2">
      <x v="41"/>
    </i>
    <i r="2">
      <x v="53"/>
    </i>
    <i r="2">
      <x v="73"/>
    </i>
    <i r="2">
      <x v="84"/>
    </i>
    <i r="2">
      <x v="86"/>
    </i>
    <i t="blank">
      <x v="37"/>
    </i>
    <i>
      <x v="38"/>
    </i>
    <i r="1">
      <x/>
      <x v="20"/>
    </i>
    <i r="2">
      <x v="78"/>
    </i>
    <i r="1">
      <x v="2"/>
      <x v="11"/>
    </i>
    <i r="1">
      <x v="3"/>
      <x/>
    </i>
    <i r="1">
      <x v="4"/>
      <x v="84"/>
    </i>
    <i r="1">
      <x v="5"/>
      <x v="59"/>
    </i>
    <i r="1">
      <x v="6"/>
      <x v="74"/>
    </i>
    <i r="1">
      <x v="7"/>
      <x v="54"/>
    </i>
    <i r="2">
      <x v="77"/>
    </i>
    <i r="1">
      <x v="9"/>
      <x v="48"/>
    </i>
    <i r="1">
      <x v="10"/>
      <x v="1"/>
    </i>
    <i r="1">
      <x v="11"/>
      <x v="47"/>
    </i>
    <i r="1">
      <x v="12"/>
      <x v="52"/>
    </i>
    <i r="1">
      <x v="13"/>
      <x v="2"/>
    </i>
    <i r="1">
      <x v="14"/>
      <x v="76"/>
    </i>
    <i r="1">
      <x v="15"/>
      <x v="7"/>
    </i>
    <i r="2">
      <x v="8"/>
    </i>
    <i r="1">
      <x v="17"/>
      <x v="83"/>
    </i>
    <i r="2">
      <x v="87"/>
    </i>
    <i r="1">
      <x v="19"/>
      <x v="46"/>
    </i>
    <i t="blank">
      <x v="38"/>
    </i>
    <i>
      <x v="39"/>
    </i>
    <i r="1">
      <x/>
      <x/>
    </i>
    <i r="1">
      <x v="1"/>
      <x v="78"/>
    </i>
    <i r="2">
      <x v="84"/>
    </i>
    <i r="1">
      <x v="3"/>
      <x v="1"/>
    </i>
    <i r="2">
      <x v="8"/>
    </i>
    <i r="2">
      <x v="74"/>
    </i>
    <i r="1">
      <x v="6"/>
      <x v="7"/>
    </i>
    <i r="2">
      <x v="59"/>
    </i>
    <i r="2">
      <x v="70"/>
    </i>
    <i r="2">
      <x v="81"/>
    </i>
    <i r="1">
      <x v="10"/>
      <x v="6"/>
    </i>
    <i r="2">
      <x v="48"/>
    </i>
    <i r="2">
      <x v="77"/>
    </i>
    <i r="1">
      <x v="13"/>
      <x v="3"/>
    </i>
    <i r="2">
      <x v="39"/>
    </i>
    <i r="2">
      <x v="46"/>
    </i>
    <i r="2">
      <x v="54"/>
    </i>
    <i r="2">
      <x v="65"/>
    </i>
    <i r="2">
      <x v="67"/>
    </i>
    <i r="2">
      <x v="88"/>
    </i>
    <i r="2">
      <x v="89"/>
    </i>
    <i t="blank">
      <x v="39"/>
    </i>
    <i>
      <x v="40"/>
    </i>
    <i r="1">
      <x/>
      <x v="13"/>
    </i>
    <i r="1">
      <x v="1"/>
      <x v="15"/>
    </i>
    <i r="1">
      <x v="2"/>
      <x v="14"/>
    </i>
    <i r="1">
      <x v="3"/>
      <x v="78"/>
    </i>
    <i r="1">
      <x v="4"/>
      <x v="7"/>
    </i>
    <i r="1">
      <x v="5"/>
      <x v="2"/>
    </i>
    <i r="1">
      <x v="6"/>
      <x v="48"/>
    </i>
    <i r="1">
      <x v="7"/>
      <x/>
    </i>
    <i r="1">
      <x v="8"/>
      <x v="54"/>
    </i>
    <i r="1">
      <x v="9"/>
      <x v="74"/>
    </i>
    <i r="2">
      <x v="77"/>
    </i>
    <i r="1">
      <x v="11"/>
      <x v="1"/>
    </i>
    <i r="2">
      <x v="52"/>
    </i>
    <i r="1">
      <x v="13"/>
      <x v="4"/>
    </i>
    <i r="2">
      <x v="88"/>
    </i>
    <i r="1">
      <x v="15"/>
      <x v="3"/>
    </i>
    <i r="2">
      <x v="67"/>
    </i>
    <i r="2">
      <x v="70"/>
    </i>
    <i r="1">
      <x v="18"/>
      <x v="5"/>
    </i>
    <i r="2">
      <x v="12"/>
    </i>
    <i r="2">
      <x v="45"/>
    </i>
    <i r="2">
      <x v="47"/>
    </i>
    <i r="2">
      <x v="76"/>
    </i>
    <i t="blank">
      <x v="40"/>
    </i>
    <i>
      <x v="41"/>
    </i>
    <i r="1">
      <x/>
      <x v="28"/>
    </i>
    <i r="1">
      <x v="1"/>
      <x v="78"/>
    </i>
    <i r="1">
      <x v="2"/>
      <x/>
    </i>
    <i r="1">
      <x v="3"/>
      <x v="88"/>
    </i>
    <i r="1">
      <x v="4"/>
      <x v="48"/>
    </i>
    <i r="1">
      <x v="5"/>
      <x v="84"/>
    </i>
    <i r="1">
      <x v="6"/>
      <x v="3"/>
    </i>
    <i r="1">
      <x v="7"/>
      <x v="59"/>
    </i>
    <i r="2">
      <x v="74"/>
    </i>
    <i r="1">
      <x v="9"/>
      <x v="77"/>
    </i>
    <i r="2">
      <x v="86"/>
    </i>
    <i r="1">
      <x v="11"/>
      <x v="54"/>
    </i>
    <i r="1">
      <x v="12"/>
      <x v="7"/>
    </i>
    <i r="1">
      <x v="13"/>
      <x v="26"/>
    </i>
    <i r="2">
      <x v="58"/>
    </i>
    <i r="1">
      <x v="15"/>
      <x v="1"/>
    </i>
    <i r="2">
      <x v="2"/>
    </i>
    <i r="2">
      <x v="8"/>
    </i>
    <i r="2">
      <x v="67"/>
    </i>
    <i r="1">
      <x v="19"/>
      <x v="38"/>
    </i>
    <i r="2">
      <x v="47"/>
    </i>
    <i t="blank">
      <x v="41"/>
    </i>
    <i>
      <x v="42"/>
    </i>
    <i r="1">
      <x/>
      <x v="78"/>
    </i>
    <i r="1">
      <x v="1"/>
      <x v="72"/>
    </i>
    <i r="1">
      <x v="2"/>
      <x v="84"/>
    </i>
    <i r="1">
      <x v="3"/>
      <x v="77"/>
    </i>
    <i r="1">
      <x v="4"/>
      <x v="86"/>
    </i>
    <i r="1">
      <x v="5"/>
      <x/>
    </i>
    <i r="1">
      <x v="6"/>
      <x v="1"/>
    </i>
    <i r="2">
      <x v="59"/>
    </i>
    <i r="1">
      <x v="8"/>
      <x v="74"/>
    </i>
    <i r="1">
      <x v="9"/>
      <x v="48"/>
    </i>
    <i r="2">
      <x v="83"/>
    </i>
    <i r="1">
      <x v="11"/>
      <x v="8"/>
    </i>
    <i r="1">
      <x v="12"/>
      <x v="54"/>
    </i>
    <i r="1">
      <x v="13"/>
      <x v="56"/>
    </i>
    <i r="2">
      <x v="57"/>
    </i>
    <i r="2">
      <x v="76"/>
    </i>
    <i r="2">
      <x v="80"/>
    </i>
    <i r="1">
      <x v="17"/>
      <x v="52"/>
    </i>
    <i r="2">
      <x v="58"/>
    </i>
    <i r="2">
      <x v="73"/>
    </i>
    <i r="2">
      <x v="75"/>
    </i>
    <i r="2">
      <x v="79"/>
    </i>
    <i t="blank">
      <x v="42"/>
    </i>
    <i>
      <x v="43"/>
    </i>
    <i r="1">
      <x/>
      <x/>
    </i>
    <i r="1">
      <x v="1"/>
      <x v="78"/>
    </i>
    <i r="1">
      <x v="2"/>
      <x v="33"/>
    </i>
    <i r="1">
      <x v="3"/>
      <x v="2"/>
    </i>
    <i r="1">
      <x v="4"/>
      <x v="7"/>
    </i>
    <i r="2">
      <x v="32"/>
    </i>
    <i r="2">
      <x v="48"/>
    </i>
    <i r="2">
      <x v="77"/>
    </i>
    <i r="1">
      <x v="8"/>
      <x v="4"/>
    </i>
    <i r="2">
      <x v="83"/>
    </i>
    <i r="2">
      <x v="88"/>
    </i>
    <i r="1">
      <x v="11"/>
      <x v="46"/>
    </i>
    <i r="2">
      <x v="52"/>
    </i>
    <i r="2">
      <x v="53"/>
    </i>
    <i r="2">
      <x v="74"/>
    </i>
    <i r="2">
      <x v="86"/>
    </i>
    <i r="1">
      <x v="16"/>
      <x v="28"/>
    </i>
    <i r="2">
      <x v="69"/>
    </i>
    <i r="1">
      <x v="18"/>
      <x v="16"/>
    </i>
    <i r="2">
      <x v="54"/>
    </i>
    <i r="2">
      <x v="67"/>
    </i>
    <i t="blank">
      <x v="43"/>
    </i>
    <i>
      <x v="44"/>
    </i>
    <i r="1">
      <x/>
      <x v="78"/>
    </i>
    <i r="1">
      <x v="1"/>
      <x/>
    </i>
    <i r="1">
      <x v="2"/>
      <x v="84"/>
    </i>
    <i r="1">
      <x v="3"/>
      <x v="77"/>
    </i>
    <i r="1">
      <x v="4"/>
      <x v="48"/>
    </i>
    <i r="2">
      <x v="74"/>
    </i>
    <i r="1">
      <x v="6"/>
      <x v="60"/>
    </i>
    <i r="2">
      <x v="83"/>
    </i>
    <i r="1">
      <x v="8"/>
      <x v="2"/>
    </i>
    <i r="2">
      <x v="54"/>
    </i>
    <i r="2">
      <x v="58"/>
    </i>
    <i r="1">
      <x v="11"/>
      <x v="52"/>
    </i>
    <i r="2">
      <x v="55"/>
    </i>
    <i r="2">
      <x v="70"/>
    </i>
    <i r="1">
      <x v="14"/>
      <x v="28"/>
    </i>
    <i r="2">
      <x v="86"/>
    </i>
    <i r="2">
      <x v="88"/>
    </i>
    <i r="1">
      <x v="17"/>
      <x v="59"/>
    </i>
    <i r="2">
      <x v="76"/>
    </i>
    <i r="1">
      <x v="19"/>
      <x v="1"/>
    </i>
    <i r="2">
      <x v="6"/>
    </i>
    <i r="2">
      <x v="8"/>
    </i>
    <i r="2">
      <x v="32"/>
    </i>
    <i r="2">
      <x v="33"/>
    </i>
    <i r="2">
      <x v="53"/>
    </i>
    <i r="2">
      <x v="67"/>
    </i>
    <i r="2">
      <x v="82"/>
    </i>
    <i r="2">
      <x v="89"/>
    </i>
    <i t="blank">
      <x v="44"/>
    </i>
    <i>
      <x v="45"/>
    </i>
    <i r="1">
      <x/>
      <x/>
    </i>
    <i r="1">
      <x v="1"/>
      <x v="74"/>
    </i>
    <i r="1">
      <x v="2"/>
      <x v="88"/>
    </i>
    <i r="1">
      <x v="3"/>
      <x v="70"/>
    </i>
    <i r="1">
      <x v="4"/>
      <x v="78"/>
    </i>
    <i r="1">
      <x v="5"/>
      <x v="77"/>
    </i>
    <i r="2">
      <x v="84"/>
    </i>
    <i r="1">
      <x v="7"/>
      <x v="4"/>
    </i>
    <i r="2">
      <x v="8"/>
    </i>
    <i r="2">
      <x v="42"/>
    </i>
    <i r="2">
      <x v="54"/>
    </i>
    <i r="1">
      <x v="11"/>
      <x v="1"/>
    </i>
    <i r="2">
      <x v="46"/>
    </i>
    <i r="2">
      <x v="48"/>
    </i>
    <i r="1">
      <x v="14"/>
      <x v="67"/>
    </i>
    <i r="2">
      <x v="71"/>
    </i>
    <i r="1">
      <x v="16"/>
      <x v="2"/>
    </i>
    <i r="2">
      <x v="5"/>
    </i>
    <i r="2">
      <x v="6"/>
    </i>
    <i r="2">
      <x v="16"/>
    </i>
    <i r="2">
      <x v="49"/>
    </i>
    <i r="2">
      <x v="76"/>
    </i>
    <i t="blank">
      <x v="45"/>
    </i>
    <i>
      <x v="46"/>
    </i>
    <i r="1">
      <x/>
      <x v="78"/>
    </i>
    <i r="1">
      <x v="1"/>
      <x v="84"/>
    </i>
    <i r="1">
      <x v="2"/>
      <x v="59"/>
    </i>
    <i r="1">
      <x v="3"/>
      <x v="74"/>
    </i>
    <i r="1">
      <x v="4"/>
      <x/>
    </i>
    <i r="1">
      <x v="5"/>
      <x v="8"/>
    </i>
    <i r="1">
      <x v="6"/>
      <x v="48"/>
    </i>
    <i r="1">
      <x v="7"/>
      <x v="7"/>
    </i>
    <i r="2">
      <x v="77"/>
    </i>
    <i r="2">
      <x v="86"/>
    </i>
    <i r="1">
      <x v="10"/>
      <x v="83"/>
    </i>
    <i r="1">
      <x v="11"/>
      <x v="54"/>
    </i>
    <i r="1">
      <x v="12"/>
      <x v="1"/>
    </i>
    <i r="2">
      <x v="2"/>
    </i>
    <i r="2">
      <x v="70"/>
    </i>
    <i r="1">
      <x v="15"/>
      <x v="6"/>
    </i>
    <i r="1">
      <x v="16"/>
      <x v="58"/>
    </i>
    <i r="2">
      <x v="88"/>
    </i>
    <i r="1">
      <x v="18"/>
      <x v="57"/>
    </i>
    <i r="2">
      <x v="72"/>
    </i>
    <i r="2">
      <x v="73"/>
    </i>
    <i t="blank">
      <x v="46"/>
    </i>
    <i>
      <x v="47"/>
    </i>
    <i r="1">
      <x/>
      <x v="78"/>
    </i>
    <i r="1">
      <x v="1"/>
      <x/>
    </i>
    <i r="2">
      <x v="60"/>
    </i>
    <i r="2">
      <x v="74"/>
    </i>
    <i r="1">
      <x v="4"/>
      <x v="54"/>
    </i>
    <i r="2">
      <x v="59"/>
    </i>
    <i r="2">
      <x v="77"/>
    </i>
    <i r="1">
      <x v="7"/>
      <x v="82"/>
    </i>
    <i r="1">
      <x v="8"/>
      <x v="7"/>
    </i>
    <i r="1">
      <x v="9"/>
      <x v="83"/>
    </i>
    <i r="1">
      <x v="10"/>
      <x v="1"/>
    </i>
    <i r="2">
      <x v="86"/>
    </i>
    <i r="1">
      <x v="12"/>
      <x v="2"/>
    </i>
    <i r="2">
      <x v="8"/>
    </i>
    <i r="2">
      <x v="45"/>
    </i>
    <i r="2">
      <x v="47"/>
    </i>
    <i r="2">
      <x v="84"/>
    </i>
    <i r="1">
      <x v="17"/>
      <x v="48"/>
    </i>
    <i r="1">
      <x v="18"/>
      <x v="49"/>
    </i>
    <i r="2">
      <x v="51"/>
    </i>
    <i r="2">
      <x v="67"/>
    </i>
    <i r="2">
      <x v="76"/>
    </i>
    <i r="2">
      <x v="80"/>
    </i>
    <i r="2">
      <x v="81"/>
    </i>
    <i t="blank">
      <x v="47"/>
    </i>
    <i>
      <x v="48"/>
    </i>
    <i r="1">
      <x/>
      <x/>
    </i>
    <i r="1">
      <x v="1"/>
      <x v="78"/>
    </i>
    <i r="1">
      <x v="2"/>
      <x v="77"/>
    </i>
    <i r="1">
      <x v="3"/>
      <x v="74"/>
    </i>
    <i r="1">
      <x v="4"/>
      <x v="2"/>
    </i>
    <i r="1">
      <x v="5"/>
      <x v="48"/>
    </i>
    <i r="1">
      <x v="6"/>
      <x v="88"/>
    </i>
    <i r="1">
      <x v="7"/>
      <x v="7"/>
    </i>
    <i r="1">
      <x v="8"/>
      <x v="67"/>
    </i>
    <i r="1">
      <x v="9"/>
      <x v="1"/>
    </i>
    <i r="2">
      <x v="11"/>
    </i>
    <i r="2">
      <x v="45"/>
    </i>
    <i r="2">
      <x v="47"/>
    </i>
    <i r="2">
      <x v="70"/>
    </i>
    <i r="1">
      <x v="14"/>
      <x v="8"/>
    </i>
    <i r="2">
      <x v="46"/>
    </i>
    <i r="1">
      <x v="16"/>
      <x v="52"/>
    </i>
    <i r="2">
      <x v="54"/>
    </i>
    <i r="2">
      <x v="59"/>
    </i>
    <i r="2">
      <x v="69"/>
    </i>
    <i r="2">
      <x v="84"/>
    </i>
    <i t="blank">
      <x v="48"/>
    </i>
    <i>
      <x v="49"/>
    </i>
    <i r="1">
      <x/>
      <x v="68"/>
    </i>
    <i r="1">
      <x v="1"/>
      <x v="10"/>
    </i>
    <i r="1">
      <x v="2"/>
      <x v="78"/>
    </i>
    <i r="1">
      <x v="3"/>
      <x v="2"/>
    </i>
    <i r="1">
      <x v="4"/>
      <x v="77"/>
    </i>
    <i r="1">
      <x v="5"/>
      <x v="44"/>
    </i>
    <i r="2">
      <x v="47"/>
    </i>
    <i r="1">
      <x v="7"/>
      <x v="7"/>
    </i>
    <i r="2">
      <x v="48"/>
    </i>
    <i r="2">
      <x v="54"/>
    </i>
    <i r="1">
      <x v="10"/>
      <x v="1"/>
    </i>
    <i r="2">
      <x v="82"/>
    </i>
    <i r="1">
      <x v="12"/>
      <x v="45"/>
    </i>
    <i r="2">
      <x v="84"/>
    </i>
    <i r="2">
      <x v="87"/>
    </i>
    <i r="1">
      <x v="15"/>
      <x v="53"/>
    </i>
    <i r="2">
      <x v="67"/>
    </i>
    <i r="1">
      <x v="17"/>
      <x/>
    </i>
    <i r="2">
      <x v="69"/>
    </i>
    <i r="2">
      <x v="72"/>
    </i>
    <i r="2">
      <x v="83"/>
    </i>
    <i r="2">
      <x v="86"/>
    </i>
    <i t="blank">
      <x v="49"/>
    </i>
    <i>
      <x v="50"/>
    </i>
    <i r="1">
      <x/>
      <x/>
    </i>
    <i r="1">
      <x v="1"/>
      <x v="77"/>
    </i>
    <i r="1">
      <x v="2"/>
      <x v="68"/>
    </i>
    <i r="1">
      <x v="3"/>
      <x v="78"/>
    </i>
    <i r="1">
      <x v="4"/>
      <x v="48"/>
    </i>
    <i r="2">
      <x v="74"/>
    </i>
    <i r="1">
      <x v="6"/>
      <x v="53"/>
    </i>
    <i r="2">
      <x v="70"/>
    </i>
    <i r="1">
      <x v="8"/>
      <x v="2"/>
    </i>
    <i r="2">
      <x v="46"/>
    </i>
    <i r="2">
      <x v="86"/>
    </i>
    <i r="1">
      <x v="11"/>
      <x v="54"/>
    </i>
    <i r="1">
      <x v="12"/>
      <x v="1"/>
    </i>
    <i r="2">
      <x v="7"/>
    </i>
    <i r="2">
      <x v="47"/>
    </i>
    <i r="2">
      <x v="59"/>
    </i>
    <i r="2">
      <x v="72"/>
    </i>
    <i r="2">
      <x v="88"/>
    </i>
    <i r="1">
      <x v="18"/>
      <x v="4"/>
    </i>
    <i r="2">
      <x v="10"/>
    </i>
    <i r="2">
      <x v="37"/>
    </i>
    <i r="2">
      <x v="52"/>
    </i>
    <i r="2">
      <x v="73"/>
    </i>
    <i t="blank">
      <x v="5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730">
      <pivotArea field="2" type="button" dataOnly="0" labelOnly="1" outline="0" axis="axisRow" fieldPosition="0"/>
    </format>
    <format dxfId="729">
      <pivotArea outline="0" fieldPosition="0">
        <references count="1">
          <reference field="4294967294" count="1">
            <x v="0"/>
          </reference>
        </references>
      </pivotArea>
    </format>
    <format dxfId="728">
      <pivotArea outline="0" fieldPosition="0">
        <references count="1">
          <reference field="4294967294" count="1">
            <x v="1"/>
          </reference>
        </references>
      </pivotArea>
    </format>
    <format dxfId="727">
      <pivotArea outline="0" fieldPosition="0">
        <references count="1">
          <reference field="4294967294" count="1">
            <x v="2"/>
          </reference>
        </references>
      </pivotArea>
    </format>
    <format dxfId="726">
      <pivotArea outline="0" fieldPosition="0">
        <references count="1">
          <reference field="4294967294" count="1">
            <x v="3"/>
          </reference>
        </references>
      </pivotArea>
    </format>
    <format dxfId="725">
      <pivotArea outline="0" fieldPosition="0">
        <references count="1">
          <reference field="4294967294" count="1">
            <x v="4"/>
          </reference>
        </references>
      </pivotArea>
    </format>
    <format dxfId="724">
      <pivotArea outline="0" fieldPosition="0">
        <references count="1">
          <reference field="4294967294" count="1">
            <x v="5"/>
          </reference>
        </references>
      </pivotArea>
    </format>
    <format dxfId="723">
      <pivotArea outline="0" fieldPosition="0">
        <references count="1">
          <reference field="4294967294" count="1">
            <x v="6"/>
          </reference>
        </references>
      </pivotArea>
    </format>
    <format dxfId="722">
      <pivotArea field="2" type="button" dataOnly="0" labelOnly="1" outline="0" axis="axisRow" fieldPosition="0"/>
    </format>
    <format dxfId="72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20">
      <pivotArea field="2" type="button" dataOnly="0" labelOnly="1" outline="0" axis="axisRow" fieldPosition="0"/>
    </format>
    <format dxfId="71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8">
      <pivotArea field="2" type="button" dataOnly="0" labelOnly="1" outline="0" axis="axisRow" fieldPosition="0"/>
    </format>
    <format dxfId="71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801D0D-B6BC-452D-8D4F-FDAB62BF153B}" name="LTBL_28000" displayName="LTBL_28000" ref="B4:I20" totalsRowCount="1">
  <autoFilter ref="B4:I19" xr:uid="{E4801D0D-B6BC-452D-8D4F-FDAB62BF153B}"/>
  <tableColumns count="8">
    <tableColumn id="9" xr3:uid="{1C4C3729-BE1B-4C49-AA72-FF248BED8FB5}" name="産業大分類" totalsRowLabel="合計" totalsRowDxfId="713"/>
    <tableColumn id="10" xr3:uid="{E7BD6041-B57B-44A0-9F52-9D0C77DCDD24}" name="総数／事業所数" totalsRowFunction="custom" totalsRowDxfId="712" dataCellStyle="桁区切り" totalsRowCellStyle="桁区切り">
      <totalsRowFormula>SUM(LTBL_28000[総数／事業所数])</totalsRowFormula>
    </tableColumn>
    <tableColumn id="11" xr3:uid="{C77DF482-194C-463A-99BF-25071EE079B0}" name="総数／構成比" dataDxfId="711"/>
    <tableColumn id="12" xr3:uid="{6919135A-8AF2-4975-ACDD-7D285B5933DE}" name="個人／事業所数" totalsRowFunction="sum" totalsRowDxfId="710" dataCellStyle="桁区切り" totalsRowCellStyle="桁区切り"/>
    <tableColumn id="13" xr3:uid="{4B173A76-F7A0-45E7-842D-E7469B52A832}" name="個人／構成比" dataDxfId="709"/>
    <tableColumn id="14" xr3:uid="{15448721-FE67-4D9B-B165-BA132AB0D7B6}" name="法人／事業所数" totalsRowFunction="sum" totalsRowDxfId="708" dataCellStyle="桁区切り" totalsRowCellStyle="桁区切り"/>
    <tableColumn id="15" xr3:uid="{5CA454FF-6749-444B-A83B-AF4781099868}" name="法人／構成比" dataDxfId="707"/>
    <tableColumn id="16" xr3:uid="{3CAEE782-3BA0-442F-96AB-8FD6A34D95EA}" name="法人以外の団体／事業所数" totalsRowFunction="sum" totalsRowDxfId="70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C0ECE5E-61EA-4F4A-B11F-1CF159AB9922}" name="LTBL_28102" displayName="LTBL_28102" ref="B4:I20" totalsRowCount="1">
  <autoFilter ref="B4:I19" xr:uid="{FC0ECE5E-61EA-4F4A-B11F-1CF159AB9922}"/>
  <tableColumns count="8">
    <tableColumn id="9" xr3:uid="{BE40CDB2-24A6-4BD3-ABFE-344984625AD2}" name="産業大分類" totalsRowLabel="合計" totalsRowDxfId="671"/>
    <tableColumn id="10" xr3:uid="{BD5368B6-57A8-4C22-B79A-A733E547E211}" name="総数／事業所数" totalsRowFunction="custom" totalsRowDxfId="670" dataCellStyle="桁区切り" totalsRowCellStyle="桁区切り">
      <totalsRowFormula>SUM(LTBL_28102[総数／事業所数])</totalsRowFormula>
    </tableColumn>
    <tableColumn id="11" xr3:uid="{EBF89E7D-3940-498B-953C-D0E75D64884D}" name="総数／構成比" dataDxfId="669"/>
    <tableColumn id="12" xr3:uid="{69D7BA91-B846-4E46-B730-1FDC02D83402}" name="個人／事業所数" totalsRowFunction="sum" totalsRowDxfId="668" dataCellStyle="桁区切り" totalsRowCellStyle="桁区切り"/>
    <tableColumn id="13" xr3:uid="{D477438A-0725-4DA5-9FC8-5EBC07FE5C96}" name="個人／構成比" dataDxfId="667"/>
    <tableColumn id="14" xr3:uid="{E57C37EF-6777-46B8-BDA2-EC084FE977CE}" name="法人／事業所数" totalsRowFunction="sum" totalsRowDxfId="666" dataCellStyle="桁区切り" totalsRowCellStyle="桁区切り"/>
    <tableColumn id="15" xr3:uid="{E0D66586-20F9-431D-87A9-27EE980C22E6}" name="法人／構成比" dataDxfId="665"/>
    <tableColumn id="16" xr3:uid="{CAF4E274-8170-47D0-93E2-879FE7C3E9C9}" name="法人以外の団体／事業所数" totalsRowFunction="sum" totalsRowDxfId="664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D7A967CA-6B4F-425D-B15C-043D98545798}" name="LTBL_28224" displayName="LTBL_28224" ref="B4:I20" totalsRowCount="1">
  <autoFilter ref="B4:I19" xr:uid="{D7A967CA-6B4F-425D-B15C-043D98545798}"/>
  <tableColumns count="8">
    <tableColumn id="9" xr3:uid="{A7903511-C20D-4EE2-90A4-10A603660155}" name="産業大分類" totalsRowLabel="合計" totalsRowDxfId="251"/>
    <tableColumn id="10" xr3:uid="{D24F3412-096F-4538-BD36-6F4B4F1F096F}" name="総数／事業所数" totalsRowFunction="custom" totalsRowDxfId="250" dataCellStyle="桁区切り" totalsRowCellStyle="桁区切り">
      <totalsRowFormula>SUM(LTBL_28224[総数／事業所数])</totalsRowFormula>
    </tableColumn>
    <tableColumn id="11" xr3:uid="{3B8AF6F1-FD0C-4A7F-B305-075B595CF810}" name="総数／構成比" dataDxfId="249"/>
    <tableColumn id="12" xr3:uid="{C7F30F4C-333A-4E2E-B6FF-32A7C1BADABC}" name="個人／事業所数" totalsRowFunction="sum" totalsRowDxfId="248" dataCellStyle="桁区切り" totalsRowCellStyle="桁区切り"/>
    <tableColumn id="13" xr3:uid="{74A3EE90-0D2E-4639-9E44-CB4F7E25B983}" name="個人／構成比" dataDxfId="247"/>
    <tableColumn id="14" xr3:uid="{4B8800C9-BBAD-496B-8696-82FCE8943833}" name="法人／事業所数" totalsRowFunction="sum" totalsRowDxfId="246" dataCellStyle="桁区切り" totalsRowCellStyle="桁区切り"/>
    <tableColumn id="15" xr3:uid="{D54B81D0-E908-4225-8EA7-F49411BCCE22}" name="法人／構成比" dataDxfId="245"/>
    <tableColumn id="16" xr3:uid="{55BCFF67-528C-41B4-B35E-78E5BC469ED3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E058E24-B0CE-47FE-B9C0-8EFB250F613E}" name="M_TABLE_28224" displayName="M_TABLE_28224" ref="B23:I43" totalsRowShown="0">
  <autoFilter ref="B23:I43" xr:uid="{0E058E24-B0CE-47FE-B9C0-8EFB250F613E}"/>
  <tableColumns count="8">
    <tableColumn id="9" xr3:uid="{80CA5BFF-383F-4BBE-96DC-35DDFA844C76}" name="産業中分類上位２０"/>
    <tableColumn id="10" xr3:uid="{2426D79C-7BA5-405D-8598-DD427727C4E1}" name="総数／事業所数" dataCellStyle="桁区切り"/>
    <tableColumn id="11" xr3:uid="{D5DE3F85-9436-42FD-BA19-0DD69B969401}" name="総数／構成比" dataDxfId="243"/>
    <tableColumn id="12" xr3:uid="{68B20FA9-4F6D-4146-8B57-F2B0A3B4A702}" name="個人／事業所数" dataCellStyle="桁区切り"/>
    <tableColumn id="13" xr3:uid="{8B8C65F8-90DE-44FA-B352-50B9D5D53C63}" name="個人／構成比" dataDxfId="242"/>
    <tableColumn id="14" xr3:uid="{A06D4996-87A8-44A4-9803-48BC6BBA934F}" name="法人／事業所数" dataCellStyle="桁区切り"/>
    <tableColumn id="15" xr3:uid="{56DD03EA-EEBF-4D04-9782-F76E33BA17FB}" name="法人／構成比" dataDxfId="241"/>
    <tableColumn id="16" xr3:uid="{616A7793-5873-410B-A655-6D4780B117C0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676A2EDB-3BBC-4A06-96B4-07CEE5EEAB1F}" name="S_TABLE_28224" displayName="S_TABLE_28224" ref="B46:I67" totalsRowShown="0">
  <autoFilter ref="B46:I67" xr:uid="{676A2EDB-3BBC-4A06-96B4-07CEE5EEAB1F}"/>
  <tableColumns count="8">
    <tableColumn id="9" xr3:uid="{FCD8B742-623F-4338-ABE9-8D8BAF678208}" name="産業小分類上位２０"/>
    <tableColumn id="10" xr3:uid="{99DA5240-0FD9-48F8-8F20-9D291D83A905}" name="総数／事業所数" dataCellStyle="桁区切り"/>
    <tableColumn id="11" xr3:uid="{57C756F9-6CC7-4A5D-9C30-FC2974C9E7E8}" name="総数／構成比" dataDxfId="240"/>
    <tableColumn id="12" xr3:uid="{A2805788-F092-44B5-8CAB-39AAC78565FA}" name="個人／事業所数" dataCellStyle="桁区切り"/>
    <tableColumn id="13" xr3:uid="{14A3E273-D740-4894-82C2-72B9E98102F2}" name="個人／構成比" dataDxfId="239"/>
    <tableColumn id="14" xr3:uid="{D2FEF777-F8B0-4BFD-AD71-E8C6715AF4E9}" name="法人／事業所数" dataCellStyle="桁区切り"/>
    <tableColumn id="15" xr3:uid="{82D12839-8854-40A6-82B7-603EE6ADCBF8}" name="法人／構成比" dataDxfId="238"/>
    <tableColumn id="16" xr3:uid="{B12F5D0C-5965-4974-9378-A3771359E1F8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67A06FD-5BF1-4105-9398-FB9E12A1263B}" name="LTBL_28225" displayName="LTBL_28225" ref="B4:I20" totalsRowCount="1">
  <autoFilter ref="B4:I19" xr:uid="{067A06FD-5BF1-4105-9398-FB9E12A1263B}"/>
  <tableColumns count="8">
    <tableColumn id="9" xr3:uid="{93982084-4FAF-4FC3-A772-48156CFA4985}" name="産業大分類" totalsRowLabel="合計" totalsRowDxfId="237"/>
    <tableColumn id="10" xr3:uid="{1807CB7D-63DC-4F56-A060-02E1C6D4A7BA}" name="総数／事業所数" totalsRowFunction="custom" totalsRowDxfId="236" dataCellStyle="桁区切り" totalsRowCellStyle="桁区切り">
      <totalsRowFormula>SUM(LTBL_28225[総数／事業所数])</totalsRowFormula>
    </tableColumn>
    <tableColumn id="11" xr3:uid="{3EC052AC-99BD-4341-B892-E16FDB771E69}" name="総数／構成比" dataDxfId="235"/>
    <tableColumn id="12" xr3:uid="{432DF541-5707-406E-8A08-A9CB92B63642}" name="個人／事業所数" totalsRowFunction="sum" totalsRowDxfId="234" dataCellStyle="桁区切り" totalsRowCellStyle="桁区切り"/>
    <tableColumn id="13" xr3:uid="{6CA4D550-10D0-4487-A515-18D65CD9FAD3}" name="個人／構成比" dataDxfId="233"/>
    <tableColumn id="14" xr3:uid="{D211B122-9FA4-4B8E-841B-99BE237D9BBC}" name="法人／事業所数" totalsRowFunction="sum" totalsRowDxfId="232" dataCellStyle="桁区切り" totalsRowCellStyle="桁区切り"/>
    <tableColumn id="15" xr3:uid="{8176A8B2-ECE3-4AA1-B65B-8D45404B760B}" name="法人／構成比" dataDxfId="231"/>
    <tableColumn id="16" xr3:uid="{E1AA1D82-5AF7-4259-9DED-8852FDC50F8E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9B7CFBEA-A404-40C1-B149-FBAEBABB27B9}" name="M_TABLE_28225" displayName="M_TABLE_28225" ref="B23:I43" totalsRowShown="0">
  <autoFilter ref="B23:I43" xr:uid="{9B7CFBEA-A404-40C1-B149-FBAEBABB27B9}"/>
  <tableColumns count="8">
    <tableColumn id="9" xr3:uid="{4848D76A-084B-44BC-A9CC-356311B37B92}" name="産業中分類上位２０"/>
    <tableColumn id="10" xr3:uid="{631ACEDB-4182-4BB6-9485-5CC5B95C9D28}" name="総数／事業所数" dataCellStyle="桁区切り"/>
    <tableColumn id="11" xr3:uid="{BE8DF8F9-0F71-4D9E-9CB7-CDAF229EC083}" name="総数／構成比" dataDxfId="229"/>
    <tableColumn id="12" xr3:uid="{D61A4E9C-B8F1-4A5F-B95E-17A313C38E85}" name="個人／事業所数" dataCellStyle="桁区切り"/>
    <tableColumn id="13" xr3:uid="{69AB67CC-9DEB-446A-9EB9-F3F6662FBD1F}" name="個人／構成比" dataDxfId="228"/>
    <tableColumn id="14" xr3:uid="{E910F9A4-932E-4400-98A2-67163316E807}" name="法人／事業所数" dataCellStyle="桁区切り"/>
    <tableColumn id="15" xr3:uid="{84539543-7FE3-401A-ADA2-EF4BA110632A}" name="法人／構成比" dataDxfId="227"/>
    <tableColumn id="16" xr3:uid="{F1A8C29E-2074-4831-8D2D-A110C40A2AEA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25722A65-B1F2-4527-B633-F0E72BCF1D0E}" name="S_TABLE_28225" displayName="S_TABLE_28225" ref="B46:I68" totalsRowShown="0">
  <autoFilter ref="B46:I68" xr:uid="{25722A65-B1F2-4527-B633-F0E72BCF1D0E}"/>
  <tableColumns count="8">
    <tableColumn id="9" xr3:uid="{1A2D1864-76AA-4152-BF07-04E8A9914A46}" name="産業小分類上位２０"/>
    <tableColumn id="10" xr3:uid="{37877A9E-E69C-4D97-9761-C70C71552C91}" name="総数／事業所数" dataCellStyle="桁区切り"/>
    <tableColumn id="11" xr3:uid="{B8B7BF26-0D37-46F4-AD32-DAD53E73A582}" name="総数／構成比" dataDxfId="226"/>
    <tableColumn id="12" xr3:uid="{FA93C6C0-507C-4202-8DB5-2C8DEB3B0423}" name="個人／事業所数" dataCellStyle="桁区切り"/>
    <tableColumn id="13" xr3:uid="{D281B51D-6542-40CD-B4AE-F5EEE0CD81B8}" name="個人／構成比" dataDxfId="225"/>
    <tableColumn id="14" xr3:uid="{36137834-72D5-4B78-8B50-B4060ADC357A}" name="法人／事業所数" dataCellStyle="桁区切り"/>
    <tableColumn id="15" xr3:uid="{F06AC542-D2AA-46A5-95DE-DC7EA13AEFC1}" name="法人／構成比" dataDxfId="224"/>
    <tableColumn id="16" xr3:uid="{089CCB3E-EE80-4190-943E-E5C8E2490EBA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4D0A7959-C2A1-46F0-B6F8-CB83D6AB418F}" name="LTBL_28226" displayName="LTBL_28226" ref="B4:I20" totalsRowCount="1">
  <autoFilter ref="B4:I19" xr:uid="{4D0A7959-C2A1-46F0-B6F8-CB83D6AB418F}"/>
  <tableColumns count="8">
    <tableColumn id="9" xr3:uid="{3B044298-C555-42EC-837D-59F7F5FFF6AA}" name="産業大分類" totalsRowLabel="合計" totalsRowDxfId="223"/>
    <tableColumn id="10" xr3:uid="{59456F4B-62C9-4DB0-87F4-F01C100F5F5C}" name="総数／事業所数" totalsRowFunction="custom" totalsRowDxfId="222" dataCellStyle="桁区切り" totalsRowCellStyle="桁区切り">
      <totalsRowFormula>SUM(LTBL_28226[総数／事業所数])</totalsRowFormula>
    </tableColumn>
    <tableColumn id="11" xr3:uid="{7B6FC2C3-6ED4-43E0-990A-5B23055A28C3}" name="総数／構成比" dataDxfId="221"/>
    <tableColumn id="12" xr3:uid="{89B38999-40D1-4876-A3BC-9E47F21350D1}" name="個人／事業所数" totalsRowFunction="sum" totalsRowDxfId="220" dataCellStyle="桁区切り" totalsRowCellStyle="桁区切り"/>
    <tableColumn id="13" xr3:uid="{AC5036FB-EB52-402C-9E03-37FB0093D08D}" name="個人／構成比" dataDxfId="219"/>
    <tableColumn id="14" xr3:uid="{26D639E4-463A-4F1C-97BB-F50775F2B532}" name="法人／事業所数" totalsRowFunction="sum" totalsRowDxfId="218" dataCellStyle="桁区切り" totalsRowCellStyle="桁区切り"/>
    <tableColumn id="15" xr3:uid="{D673DD65-45C3-4B18-B8C7-6EDFAD9BBC9F}" name="法人／構成比" dataDxfId="217"/>
    <tableColumn id="16" xr3:uid="{8108908C-18A7-434C-9657-712E700ECCB6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8B1022EC-2FA7-446F-AB69-C1BCA0C77066}" name="M_TABLE_28226" displayName="M_TABLE_28226" ref="B23:I43" totalsRowShown="0">
  <autoFilter ref="B23:I43" xr:uid="{8B1022EC-2FA7-446F-AB69-C1BCA0C77066}"/>
  <tableColumns count="8">
    <tableColumn id="9" xr3:uid="{537D8639-202A-42C5-933D-8F749C85FAD4}" name="産業中分類上位２０"/>
    <tableColumn id="10" xr3:uid="{B75198D6-938D-475A-847E-4904C16A6402}" name="総数／事業所数" dataCellStyle="桁区切り"/>
    <tableColumn id="11" xr3:uid="{34F73BA1-E9CE-4D44-BC17-2D878C3E5B96}" name="総数／構成比" dataDxfId="215"/>
    <tableColumn id="12" xr3:uid="{7A204202-B98A-41A7-B435-CDDA3A210166}" name="個人／事業所数" dataCellStyle="桁区切り"/>
    <tableColumn id="13" xr3:uid="{BB70B742-E2A2-4366-853F-1C8C0B768E25}" name="個人／構成比" dataDxfId="214"/>
    <tableColumn id="14" xr3:uid="{92E32849-96F3-42C8-9ED6-B2DD82CFB23B}" name="法人／事業所数" dataCellStyle="桁区切り"/>
    <tableColumn id="15" xr3:uid="{E05046F5-6664-43A5-8D0C-5A538CDD6E57}" name="法人／構成比" dataDxfId="213"/>
    <tableColumn id="16" xr3:uid="{03C3DB97-03E0-4E33-8B91-4E10B95DE94D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F28FACC1-1EEC-4AB1-B1B9-94333CFB4127}" name="S_TABLE_28226" displayName="S_TABLE_28226" ref="B46:I66" totalsRowShown="0">
  <autoFilter ref="B46:I66" xr:uid="{F28FACC1-1EEC-4AB1-B1B9-94333CFB4127}"/>
  <tableColumns count="8">
    <tableColumn id="9" xr3:uid="{89075CCA-BC94-484E-A54B-C91D66E60DAB}" name="産業小分類上位２０"/>
    <tableColumn id="10" xr3:uid="{6C9DBF66-F2E7-4353-A77F-EFFD282098DD}" name="総数／事業所数" dataCellStyle="桁区切り"/>
    <tableColumn id="11" xr3:uid="{7E27AD09-A2AF-42D7-9D5D-E21563BC289C}" name="総数／構成比" dataDxfId="212"/>
    <tableColumn id="12" xr3:uid="{55941310-8881-4EAA-82CE-2B3ED294B4B0}" name="個人／事業所数" dataCellStyle="桁区切り"/>
    <tableColumn id="13" xr3:uid="{8B0F460C-04FF-4B05-8BB8-1816A7EE9C8D}" name="個人／構成比" dataDxfId="211"/>
    <tableColumn id="14" xr3:uid="{347F38AB-9B10-4724-987F-C5A13078F4B0}" name="法人／事業所数" dataCellStyle="桁区切り"/>
    <tableColumn id="15" xr3:uid="{571A02AC-C483-4DAE-9F48-DFA21A119189}" name="法人／構成比" dataDxfId="210"/>
    <tableColumn id="16" xr3:uid="{03E2A3E4-038A-48E4-9880-9BC26251973A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B8E2DF8-CC2B-4971-BF1E-1A3DA4FB9A07}" name="LTBL_28227" displayName="LTBL_28227" ref="B4:I20" totalsRowCount="1">
  <autoFilter ref="B4:I19" xr:uid="{EB8E2DF8-CC2B-4971-BF1E-1A3DA4FB9A07}"/>
  <tableColumns count="8">
    <tableColumn id="9" xr3:uid="{7A57C54E-B5AC-48F2-8883-815BACFEE130}" name="産業大分類" totalsRowLabel="合計" totalsRowDxfId="209"/>
    <tableColumn id="10" xr3:uid="{878FC4EB-A34E-4596-82B6-D65B8D4D9321}" name="総数／事業所数" totalsRowFunction="custom" totalsRowDxfId="208" dataCellStyle="桁区切り" totalsRowCellStyle="桁区切り">
      <totalsRowFormula>SUM(LTBL_28227[総数／事業所数])</totalsRowFormula>
    </tableColumn>
    <tableColumn id="11" xr3:uid="{2B4FDE22-70D5-4FB4-86A9-1F4016482215}" name="総数／構成比" dataDxfId="207"/>
    <tableColumn id="12" xr3:uid="{1C80CE93-A7CB-412D-BD4D-6C897672D3C0}" name="個人／事業所数" totalsRowFunction="sum" totalsRowDxfId="206" dataCellStyle="桁区切り" totalsRowCellStyle="桁区切り"/>
    <tableColumn id="13" xr3:uid="{1A024DD2-677A-4DDC-BC63-76720816758C}" name="個人／構成比" dataDxfId="205"/>
    <tableColumn id="14" xr3:uid="{3F0AA837-585A-4B40-9F9E-9D083831B166}" name="法人／事業所数" totalsRowFunction="sum" totalsRowDxfId="204" dataCellStyle="桁区切り" totalsRowCellStyle="桁区切り"/>
    <tableColumn id="15" xr3:uid="{A86266F0-A6D2-4291-8955-F19E8D923898}" name="法人／構成比" dataDxfId="203"/>
    <tableColumn id="16" xr3:uid="{9930DE31-7E05-4CDF-808D-FB541B658A93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80880EC-6DC0-4F6B-A4B0-44FF6C65E76B}" name="M_TABLE_28102" displayName="M_TABLE_28102" ref="B23:I43" totalsRowShown="0">
  <autoFilter ref="B23:I43" xr:uid="{880880EC-6DC0-4F6B-A4B0-44FF6C65E76B}"/>
  <tableColumns count="8">
    <tableColumn id="9" xr3:uid="{4CBE1511-DFC7-4E0E-8844-36AABA9F1BD8}" name="産業中分類上位２０"/>
    <tableColumn id="10" xr3:uid="{7467A8A0-D553-4228-8794-D2B62F549B42}" name="総数／事業所数" dataCellStyle="桁区切り"/>
    <tableColumn id="11" xr3:uid="{0272FC3F-D8FC-41A2-B1B6-466E40BCA1DE}" name="総数／構成比" dataDxfId="663"/>
    <tableColumn id="12" xr3:uid="{9BD543BE-94B8-46F3-BC84-D8BFA56D40CD}" name="個人／事業所数" dataCellStyle="桁区切り"/>
    <tableColumn id="13" xr3:uid="{C13EC727-AC59-4B98-B9FF-69C72F55DC84}" name="個人／構成比" dataDxfId="662"/>
    <tableColumn id="14" xr3:uid="{2053153B-5CDC-48CB-88A0-62ACFBC23A28}" name="法人／事業所数" dataCellStyle="桁区切り"/>
    <tableColumn id="15" xr3:uid="{DACDE982-86B9-451C-B2AE-F0C3DEFD8157}" name="法人／構成比" dataDxfId="661"/>
    <tableColumn id="16" xr3:uid="{27F82A1F-3487-4587-AE5D-32DCE6734E76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B64677B7-5787-4386-AB8B-6D24301A8B39}" name="M_TABLE_28227" displayName="M_TABLE_28227" ref="B23:I44" totalsRowShown="0">
  <autoFilter ref="B23:I44" xr:uid="{B64677B7-5787-4386-AB8B-6D24301A8B39}"/>
  <tableColumns count="8">
    <tableColumn id="9" xr3:uid="{90D6FC19-FC15-4BD7-8E69-E4FD8D6DE6A9}" name="産業中分類上位２０"/>
    <tableColumn id="10" xr3:uid="{13035818-2506-47F2-8EB6-CB10AD9197EA}" name="総数／事業所数" dataCellStyle="桁区切り"/>
    <tableColumn id="11" xr3:uid="{CD3287D8-1D61-4BAC-BE17-DEFC5892BB79}" name="総数／構成比" dataDxfId="201"/>
    <tableColumn id="12" xr3:uid="{5C8A73B2-20D4-42D9-B6EB-31D54CFC424D}" name="個人／事業所数" dataCellStyle="桁区切り"/>
    <tableColumn id="13" xr3:uid="{7038F7CB-9D01-478D-9EF1-913C4C8E578A}" name="個人／構成比" dataDxfId="200"/>
    <tableColumn id="14" xr3:uid="{4BEEF1D3-BDAE-409B-93C6-2F26C97E9C21}" name="法人／事業所数" dataCellStyle="桁区切り"/>
    <tableColumn id="15" xr3:uid="{99965FCC-34E0-471A-A954-FBA7061C8976}" name="法人／構成比" dataDxfId="199"/>
    <tableColumn id="16" xr3:uid="{6A5D90FB-23B4-446F-B14C-3CFE76C852E6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70FC04E5-5933-4BAD-97B1-9225D5EB2DC5}" name="S_TABLE_28227" displayName="S_TABLE_28227" ref="B47:I71" totalsRowShown="0">
  <autoFilter ref="B47:I71" xr:uid="{70FC04E5-5933-4BAD-97B1-9225D5EB2DC5}"/>
  <tableColumns count="8">
    <tableColumn id="9" xr3:uid="{F4EA7447-CC72-48BD-9D29-E50B425F77BD}" name="産業小分類上位２０"/>
    <tableColumn id="10" xr3:uid="{C85E8539-8C8E-4F23-B048-2E653302D9EE}" name="総数／事業所数" dataCellStyle="桁区切り"/>
    <tableColumn id="11" xr3:uid="{0408CCED-AA9F-41B6-BEF1-3FE1B6923D11}" name="総数／構成比" dataDxfId="198"/>
    <tableColumn id="12" xr3:uid="{D9BC723F-FB78-4596-8C24-C7E04911056F}" name="個人／事業所数" dataCellStyle="桁区切り"/>
    <tableColumn id="13" xr3:uid="{4FFD3AE6-52CA-46AE-9AA5-66C85B34DA48}" name="個人／構成比" dataDxfId="197"/>
    <tableColumn id="14" xr3:uid="{45164DD0-4147-48DB-9838-A588A888DE0D}" name="法人／事業所数" dataCellStyle="桁区切り"/>
    <tableColumn id="15" xr3:uid="{1EE31D28-7786-4C9D-9E90-5DCE3B22B095}" name="法人／構成比" dataDxfId="196"/>
    <tableColumn id="16" xr3:uid="{18760E90-6FC4-4F76-BA11-9E451034A3CB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EC1DF9A4-1B9D-46D0-B62F-7B395F8389B7}" name="LTBL_28228" displayName="LTBL_28228" ref="B4:I20" totalsRowCount="1">
  <autoFilter ref="B4:I19" xr:uid="{EC1DF9A4-1B9D-46D0-B62F-7B395F8389B7}"/>
  <tableColumns count="8">
    <tableColumn id="9" xr3:uid="{C86D9FF7-264B-4342-AA97-11773374E642}" name="産業大分類" totalsRowLabel="合計" totalsRowDxfId="195"/>
    <tableColumn id="10" xr3:uid="{C682648C-5590-4F6E-99A1-E47DB966FAAA}" name="総数／事業所数" totalsRowFunction="custom" totalsRowDxfId="194" dataCellStyle="桁区切り" totalsRowCellStyle="桁区切り">
      <totalsRowFormula>SUM(LTBL_28228[総数／事業所数])</totalsRowFormula>
    </tableColumn>
    <tableColumn id="11" xr3:uid="{E2F745F4-F677-42EA-AE64-09CF1F6A8645}" name="総数／構成比" dataDxfId="193"/>
    <tableColumn id="12" xr3:uid="{BA33DB3E-8477-4C35-8EED-0725C0F08D80}" name="個人／事業所数" totalsRowFunction="sum" totalsRowDxfId="192" dataCellStyle="桁区切り" totalsRowCellStyle="桁区切り"/>
    <tableColumn id="13" xr3:uid="{979519EF-7C12-4D33-8275-09E24DF4C578}" name="個人／構成比" dataDxfId="191"/>
    <tableColumn id="14" xr3:uid="{9D6FC1A1-4A19-44EA-A3AD-9006F3A76AB5}" name="法人／事業所数" totalsRowFunction="sum" totalsRowDxfId="190" dataCellStyle="桁区切り" totalsRowCellStyle="桁区切り"/>
    <tableColumn id="15" xr3:uid="{F895B65C-D1EC-40B0-9561-4B9A4A248339}" name="法人／構成比" dataDxfId="189"/>
    <tableColumn id="16" xr3:uid="{6AAC0B7D-F041-46E9-BC0B-1357626A52E8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2A68D932-F379-4047-BAB1-152974CB510B}" name="M_TABLE_28228" displayName="M_TABLE_28228" ref="B23:I44" totalsRowShown="0">
  <autoFilter ref="B23:I44" xr:uid="{2A68D932-F379-4047-BAB1-152974CB510B}"/>
  <tableColumns count="8">
    <tableColumn id="9" xr3:uid="{DC848CB4-2514-4339-B519-DAD10D68E6E9}" name="産業中分類上位２０"/>
    <tableColumn id="10" xr3:uid="{6F99378B-68A9-4C9F-9BA8-DA849B32B0CB}" name="総数／事業所数" dataCellStyle="桁区切り"/>
    <tableColumn id="11" xr3:uid="{BC90403E-2EEF-4B40-9AA9-EEE4E2637215}" name="総数／構成比" dataDxfId="187"/>
    <tableColumn id="12" xr3:uid="{A7B380AB-EDE6-458D-B584-018A7E5C21B4}" name="個人／事業所数" dataCellStyle="桁区切り"/>
    <tableColumn id="13" xr3:uid="{B3AEB45F-9614-43E7-848E-EEDFECDF22B0}" name="個人／構成比" dataDxfId="186"/>
    <tableColumn id="14" xr3:uid="{09D9F321-A049-4B0F-A1CC-4B50C797D73B}" name="法人／事業所数" dataCellStyle="桁区切り"/>
    <tableColumn id="15" xr3:uid="{01586E5D-BAF2-42ED-89BC-308779AFC630}" name="法人／構成比" dataDxfId="185"/>
    <tableColumn id="16" xr3:uid="{B986890F-15EA-45F4-BC6A-F29CD0B87E3D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676C05DB-8EE1-4C6C-84BB-A693F9CD015A}" name="S_TABLE_28228" displayName="S_TABLE_28228" ref="B47:I69" totalsRowShown="0">
  <autoFilter ref="B47:I69" xr:uid="{676C05DB-8EE1-4C6C-84BB-A693F9CD015A}"/>
  <tableColumns count="8">
    <tableColumn id="9" xr3:uid="{154329DA-3B4C-44FB-BBE8-C7A606F74EF0}" name="産業小分類上位２０"/>
    <tableColumn id="10" xr3:uid="{DCC41FEC-3C37-4C4A-9057-79FEB8091CE7}" name="総数／事業所数" dataCellStyle="桁区切り"/>
    <tableColumn id="11" xr3:uid="{E45AC2D3-3174-40F1-AE40-19DF20835DD5}" name="総数／構成比" dataDxfId="184"/>
    <tableColumn id="12" xr3:uid="{19F3900E-FDE9-49FA-B93B-7A9D7EAAFDD9}" name="個人／事業所数" dataCellStyle="桁区切り"/>
    <tableColumn id="13" xr3:uid="{2DB34145-17F8-44CC-93D9-BEA1D80A4F8A}" name="個人／構成比" dataDxfId="183"/>
    <tableColumn id="14" xr3:uid="{58CAB74B-9480-4567-97D3-89BE9D2AF711}" name="法人／事業所数" dataCellStyle="桁区切り"/>
    <tableColumn id="15" xr3:uid="{0A298960-76F7-4E81-AB8A-AF549A42FFDA}" name="法人／構成比" dataDxfId="182"/>
    <tableColumn id="16" xr3:uid="{F4812872-D304-498F-96D4-6C0DB3A35A86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4DC9D371-960E-4321-BF1C-136A8B9DAAE3}" name="LTBL_28229" displayName="LTBL_28229" ref="B4:I20" totalsRowCount="1">
  <autoFilter ref="B4:I19" xr:uid="{4DC9D371-960E-4321-BF1C-136A8B9DAAE3}"/>
  <tableColumns count="8">
    <tableColumn id="9" xr3:uid="{3AA77422-8CF0-4F99-9778-364E78760A65}" name="産業大分類" totalsRowLabel="合計" totalsRowDxfId="181"/>
    <tableColumn id="10" xr3:uid="{E489CE05-B036-4095-8119-02F38FB9DBF8}" name="総数／事業所数" totalsRowFunction="custom" totalsRowDxfId="180" dataCellStyle="桁区切り" totalsRowCellStyle="桁区切り">
      <totalsRowFormula>SUM(LTBL_28229[総数／事業所数])</totalsRowFormula>
    </tableColumn>
    <tableColumn id="11" xr3:uid="{62265B4F-B726-4FAC-9FB0-9866C0CC64A2}" name="総数／構成比" dataDxfId="179"/>
    <tableColumn id="12" xr3:uid="{8105821E-200F-4011-8662-D01064BCECD1}" name="個人／事業所数" totalsRowFunction="sum" totalsRowDxfId="178" dataCellStyle="桁区切り" totalsRowCellStyle="桁区切り"/>
    <tableColumn id="13" xr3:uid="{A779E9B6-1E5A-43E8-AD0D-EB1D31AC4DA0}" name="個人／構成比" dataDxfId="177"/>
    <tableColumn id="14" xr3:uid="{0395897E-E5AE-4800-B9D9-6ECEE9A2BCFF}" name="法人／事業所数" totalsRowFunction="sum" totalsRowDxfId="176" dataCellStyle="桁区切り" totalsRowCellStyle="桁区切り"/>
    <tableColumn id="15" xr3:uid="{B8F72033-6E8F-4A86-916C-305DCC87AA1D}" name="法人／構成比" dataDxfId="175"/>
    <tableColumn id="16" xr3:uid="{6D47A169-058E-4C9A-9A0A-F6A99F267494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85C0F441-5282-45AB-A560-A35ACDF97FDA}" name="M_TABLE_28229" displayName="M_TABLE_28229" ref="B23:I43" totalsRowShown="0">
  <autoFilter ref="B23:I43" xr:uid="{85C0F441-5282-45AB-A560-A35ACDF97FDA}"/>
  <tableColumns count="8">
    <tableColumn id="9" xr3:uid="{EB0E90E8-513E-496B-85F6-83A8B0314AD5}" name="産業中分類上位２０"/>
    <tableColumn id="10" xr3:uid="{F15D9723-A25A-4912-AB69-0979DA19FDBB}" name="総数／事業所数" dataCellStyle="桁区切り"/>
    <tableColumn id="11" xr3:uid="{A7756622-C4B7-457C-B256-5EF384D471DE}" name="総数／構成比" dataDxfId="173"/>
    <tableColumn id="12" xr3:uid="{780C07FD-5C58-472A-81B0-E6972ED381B6}" name="個人／事業所数" dataCellStyle="桁区切り"/>
    <tableColumn id="13" xr3:uid="{DEB126A6-CE2C-4956-9D8A-BE3CAD1C94D3}" name="個人／構成比" dataDxfId="172"/>
    <tableColumn id="14" xr3:uid="{433959DF-E262-455F-9843-2EB260D577BD}" name="法人／事業所数" dataCellStyle="桁区切り"/>
    <tableColumn id="15" xr3:uid="{C44C536D-70B3-448F-A10B-72DD6D2B69B9}" name="法人／構成比" dataDxfId="171"/>
    <tableColumn id="16" xr3:uid="{0388953A-1B32-47BC-BE92-6B86910A95FD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10F98C1E-C087-4AD3-A108-E816EECDB378}" name="S_TABLE_28229" displayName="S_TABLE_28229" ref="B46:I66" totalsRowShown="0">
  <autoFilter ref="B46:I66" xr:uid="{10F98C1E-C087-4AD3-A108-E816EECDB378}"/>
  <tableColumns count="8">
    <tableColumn id="9" xr3:uid="{AB22E641-3139-437D-8BDD-417BE0215010}" name="産業小分類上位２０"/>
    <tableColumn id="10" xr3:uid="{5520FA71-07DF-43B3-94C6-CFEF6D2AA285}" name="総数／事業所数" dataCellStyle="桁区切り"/>
    <tableColumn id="11" xr3:uid="{A10CDB8C-BC97-4B3E-AED7-1A5B56CC3ADC}" name="総数／構成比" dataDxfId="170"/>
    <tableColumn id="12" xr3:uid="{D97E27F6-97D1-47AC-A3C8-690DAB7D391A}" name="個人／事業所数" dataCellStyle="桁区切り"/>
    <tableColumn id="13" xr3:uid="{BA8FB802-4AB2-4CA7-B1E2-AD8B6E4F7F80}" name="個人／構成比" dataDxfId="169"/>
    <tableColumn id="14" xr3:uid="{0A4D4119-EF14-42BF-AB12-E9FE2C1B1E80}" name="法人／事業所数" dataCellStyle="桁区切り"/>
    <tableColumn id="15" xr3:uid="{8D1FE7FF-B47B-4E91-A205-8DF179BD7DE6}" name="法人／構成比" dataDxfId="168"/>
    <tableColumn id="16" xr3:uid="{DCF68E50-CA49-42FE-A626-27E658EBD283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9315A013-9F22-438C-84F5-F1C9EF66B9A2}" name="LTBL_28301" displayName="LTBL_28301" ref="B4:I20" totalsRowCount="1">
  <autoFilter ref="B4:I19" xr:uid="{9315A013-9F22-438C-84F5-F1C9EF66B9A2}"/>
  <tableColumns count="8">
    <tableColumn id="9" xr3:uid="{96F85DE0-E7FA-4385-A64E-E77E6EB25837}" name="産業大分類" totalsRowLabel="合計" totalsRowDxfId="167"/>
    <tableColumn id="10" xr3:uid="{3CF6091B-9168-497E-BB16-32398EFDEFD7}" name="総数／事業所数" totalsRowFunction="custom" totalsRowDxfId="166" dataCellStyle="桁区切り" totalsRowCellStyle="桁区切り">
      <totalsRowFormula>SUM(LTBL_28301[総数／事業所数])</totalsRowFormula>
    </tableColumn>
    <tableColumn id="11" xr3:uid="{55009E26-7337-4AD6-B15B-929B9E563AD7}" name="総数／構成比" dataDxfId="165"/>
    <tableColumn id="12" xr3:uid="{8D5FFBCD-2C6D-4FD8-B448-4FC01814AB0A}" name="個人／事業所数" totalsRowFunction="sum" totalsRowDxfId="164" dataCellStyle="桁区切り" totalsRowCellStyle="桁区切り"/>
    <tableColumn id="13" xr3:uid="{8795AB72-40AC-482C-89CA-61C44ED57067}" name="個人／構成比" dataDxfId="163"/>
    <tableColumn id="14" xr3:uid="{B4D7FB0E-4738-41D7-95C7-ABC0CE8168CA}" name="法人／事業所数" totalsRowFunction="sum" totalsRowDxfId="162" dataCellStyle="桁区切り" totalsRowCellStyle="桁区切り"/>
    <tableColumn id="15" xr3:uid="{FC11E601-535A-4F56-BC15-E11416857A00}" name="法人／構成比" dataDxfId="161"/>
    <tableColumn id="16" xr3:uid="{A78B1631-E820-4542-9AC0-3799395C9F7A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8C9454FA-2B1C-48AA-8452-B74F9DAB7621}" name="M_TABLE_28301" displayName="M_TABLE_28301" ref="B23:I44" totalsRowShown="0">
  <autoFilter ref="B23:I44" xr:uid="{8C9454FA-2B1C-48AA-8452-B74F9DAB7621}"/>
  <tableColumns count="8">
    <tableColumn id="9" xr3:uid="{563FE2F6-1F6E-49B6-96F8-14C6607CA3F8}" name="産業中分類上位２０"/>
    <tableColumn id="10" xr3:uid="{19D2E874-D339-4B85-BD4A-C9678621609B}" name="総数／事業所数" dataCellStyle="桁区切り"/>
    <tableColumn id="11" xr3:uid="{F90CBCA1-8B59-4F21-A1EB-8C0B6FE8A748}" name="総数／構成比" dataDxfId="159"/>
    <tableColumn id="12" xr3:uid="{995033E9-238D-40DC-A9D4-57A2ECA6A763}" name="個人／事業所数" dataCellStyle="桁区切り"/>
    <tableColumn id="13" xr3:uid="{96F6A166-717B-4D5E-A029-2A36628EC83E}" name="個人／構成比" dataDxfId="158"/>
    <tableColumn id="14" xr3:uid="{E0AF45FA-DD9A-4609-8681-0BEBBAE057BC}" name="法人／事業所数" dataCellStyle="桁区切り"/>
    <tableColumn id="15" xr3:uid="{E5C98933-3227-452B-8339-19211F6A187C}" name="法人／構成比" dataDxfId="157"/>
    <tableColumn id="16" xr3:uid="{214546BC-9C89-4D8B-A371-EBEB6AF39396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B424915-E542-4DEF-BEB2-6A3FE32865F7}" name="S_TABLE_28102" displayName="S_TABLE_28102" ref="B46:I66" totalsRowShown="0">
  <autoFilter ref="B46:I66" xr:uid="{EB424915-E542-4DEF-BEB2-6A3FE32865F7}"/>
  <tableColumns count="8">
    <tableColumn id="9" xr3:uid="{7E788C48-5833-457D-977C-88DD06F328DB}" name="産業小分類上位２０"/>
    <tableColumn id="10" xr3:uid="{29A2D7FE-BAF0-4ED5-8AAB-C3B5D3B06D43}" name="総数／事業所数" dataCellStyle="桁区切り"/>
    <tableColumn id="11" xr3:uid="{923065DB-3950-49A4-8F03-056202534600}" name="総数／構成比" dataDxfId="660"/>
    <tableColumn id="12" xr3:uid="{5A793FCB-2C5C-46D0-BAC9-BDDC4EBB08F2}" name="個人／事業所数" dataCellStyle="桁区切り"/>
    <tableColumn id="13" xr3:uid="{2A5DF026-C2EB-4C5D-B689-FB25DC0F1B29}" name="個人／構成比" dataDxfId="659"/>
    <tableColumn id="14" xr3:uid="{F67CD525-C36A-43CC-9A00-04743A21368D}" name="法人／事業所数" dataCellStyle="桁区切り"/>
    <tableColumn id="15" xr3:uid="{D979CAAA-D936-4A0D-8E13-DACB6E695474}" name="法人／構成比" dataDxfId="658"/>
    <tableColumn id="16" xr3:uid="{C1AA627D-6138-4E61-9501-EF7AADBB3C84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32E17E5B-3D2D-4459-8EA5-AAC17BE5FB18}" name="S_TABLE_28301" displayName="S_TABLE_28301" ref="B47:I68" totalsRowShown="0">
  <autoFilter ref="B47:I68" xr:uid="{32E17E5B-3D2D-4459-8EA5-AAC17BE5FB18}"/>
  <tableColumns count="8">
    <tableColumn id="9" xr3:uid="{EA7F389D-885C-4429-AF1C-276272CC1AC9}" name="産業小分類上位２０"/>
    <tableColumn id="10" xr3:uid="{E8F579B2-8CFE-4376-BF09-1BC697369ADB}" name="総数／事業所数" dataCellStyle="桁区切り"/>
    <tableColumn id="11" xr3:uid="{B5941432-8F70-448A-A8E7-AF51FF1E9527}" name="総数／構成比" dataDxfId="156"/>
    <tableColumn id="12" xr3:uid="{63275C22-553D-4BE8-A756-46A3EC88DC9F}" name="個人／事業所数" dataCellStyle="桁区切り"/>
    <tableColumn id="13" xr3:uid="{25C57EC5-9A3B-424D-A067-2AAFD0D546EC}" name="個人／構成比" dataDxfId="155"/>
    <tableColumn id="14" xr3:uid="{0D75055F-8F39-47A2-9573-7E4238DB8262}" name="法人／事業所数" dataCellStyle="桁区切り"/>
    <tableColumn id="15" xr3:uid="{5A3F73B3-6962-472A-B75D-7EF6D939A7F6}" name="法人／構成比" dataDxfId="154"/>
    <tableColumn id="16" xr3:uid="{50255984-E106-449A-95DA-7E43DD6F780D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66D78B1C-1070-4FCA-8816-48E81BE4A312}" name="LTBL_28365" displayName="LTBL_28365" ref="B4:I20" totalsRowCount="1">
  <autoFilter ref="B4:I19" xr:uid="{66D78B1C-1070-4FCA-8816-48E81BE4A312}"/>
  <tableColumns count="8">
    <tableColumn id="9" xr3:uid="{B5CD09C9-9A8E-4283-BC35-57F6ADBFED57}" name="産業大分類" totalsRowLabel="合計" totalsRowDxfId="153"/>
    <tableColumn id="10" xr3:uid="{D2CE2D47-75AE-4EA9-BCF4-0F8DA27008A7}" name="総数／事業所数" totalsRowFunction="custom" totalsRowDxfId="152" dataCellStyle="桁区切り" totalsRowCellStyle="桁区切り">
      <totalsRowFormula>SUM(LTBL_28365[総数／事業所数])</totalsRowFormula>
    </tableColumn>
    <tableColumn id="11" xr3:uid="{3946175A-4CC8-4807-A2A5-15C1F91C0002}" name="総数／構成比" dataDxfId="151"/>
    <tableColumn id="12" xr3:uid="{9A1F4AF0-6F51-41BA-B7A3-C52259417CCB}" name="個人／事業所数" totalsRowFunction="sum" totalsRowDxfId="150" dataCellStyle="桁区切り" totalsRowCellStyle="桁区切り"/>
    <tableColumn id="13" xr3:uid="{C9C4A7E0-6E7D-4B6B-8180-4E32A01B670B}" name="個人／構成比" dataDxfId="149"/>
    <tableColumn id="14" xr3:uid="{49964EED-8B50-4646-A38D-2F57931DE4A2}" name="法人／事業所数" totalsRowFunction="sum" totalsRowDxfId="148" dataCellStyle="桁区切り" totalsRowCellStyle="桁区切り"/>
    <tableColumn id="15" xr3:uid="{983FA433-1452-4C93-85C3-E5E3A4B3F261}" name="法人／構成比" dataDxfId="147"/>
    <tableColumn id="16" xr3:uid="{CC1A5690-D646-43FA-AD56-A67D3FC826F2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6A7A0F9C-0F88-4892-A143-6BECD4BCD5A2}" name="M_TABLE_28365" displayName="M_TABLE_28365" ref="B23:I44" totalsRowShown="0">
  <autoFilter ref="B23:I44" xr:uid="{6A7A0F9C-0F88-4892-A143-6BECD4BCD5A2}"/>
  <tableColumns count="8">
    <tableColumn id="9" xr3:uid="{AAE34C28-391E-4770-B6B5-C7D889A4A872}" name="産業中分類上位２０"/>
    <tableColumn id="10" xr3:uid="{B18E0AEA-F33F-41F4-8791-E23D6FD31E9E}" name="総数／事業所数" dataCellStyle="桁区切り"/>
    <tableColumn id="11" xr3:uid="{DB12F6B6-5325-4531-B41F-16023F4243CF}" name="総数／構成比" dataDxfId="145"/>
    <tableColumn id="12" xr3:uid="{411EBE46-F228-4275-803F-51BB82D3D117}" name="個人／事業所数" dataCellStyle="桁区切り"/>
    <tableColumn id="13" xr3:uid="{5DDE8EDB-8AB2-4FEB-A211-7E7F339EC1C6}" name="個人／構成比" dataDxfId="144"/>
    <tableColumn id="14" xr3:uid="{8CAF6376-5308-4BAE-8B17-B047250D967E}" name="法人／事業所数" dataCellStyle="桁区切り"/>
    <tableColumn id="15" xr3:uid="{F96D718E-6BB5-4905-915A-354517E20B2F}" name="法人／構成比" dataDxfId="143"/>
    <tableColumn id="16" xr3:uid="{07F623C7-5221-40E6-98BF-EBA2EA32FD92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19F48E70-385C-46E5-BAE4-01E6892880AC}" name="S_TABLE_28365" displayName="S_TABLE_28365" ref="B47:I70" totalsRowShown="0">
  <autoFilter ref="B47:I70" xr:uid="{19F48E70-385C-46E5-BAE4-01E6892880AC}"/>
  <tableColumns count="8">
    <tableColumn id="9" xr3:uid="{8E9F8F43-D4B4-4E36-9609-ADB619FBC7B2}" name="産業小分類上位２０"/>
    <tableColumn id="10" xr3:uid="{983647D9-CF75-4D13-B368-3B9F8F265DC1}" name="総数／事業所数" dataCellStyle="桁区切り"/>
    <tableColumn id="11" xr3:uid="{F2A659DC-AFE9-473A-A59A-663186172376}" name="総数／構成比" dataDxfId="142"/>
    <tableColumn id="12" xr3:uid="{A056260D-EE9C-40DD-95AE-B75C08E0A199}" name="個人／事業所数" dataCellStyle="桁区切り"/>
    <tableColumn id="13" xr3:uid="{36C68DEB-AE37-43FD-A113-C9D2A9CF1011}" name="個人／構成比" dataDxfId="141"/>
    <tableColumn id="14" xr3:uid="{90FFF87F-7D9D-4380-89F4-2F645AFBF2AC}" name="法人／事業所数" dataCellStyle="桁区切り"/>
    <tableColumn id="15" xr3:uid="{F5180B09-3449-4DF5-A60F-5E617F3237A4}" name="法人／構成比" dataDxfId="140"/>
    <tableColumn id="16" xr3:uid="{54C5F894-E28D-49A9-BE45-360D4D7B5029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AFDBA018-BAED-4E1C-9969-718F0EE1CB38}" name="LTBL_28381" displayName="LTBL_28381" ref="B4:I20" totalsRowCount="1">
  <autoFilter ref="B4:I19" xr:uid="{AFDBA018-BAED-4E1C-9969-718F0EE1CB38}"/>
  <tableColumns count="8">
    <tableColumn id="9" xr3:uid="{145C9B3F-DD23-4BA2-8CF2-2555953B88DD}" name="産業大分類" totalsRowLabel="合計" totalsRowDxfId="139"/>
    <tableColumn id="10" xr3:uid="{6AE8F87E-997C-48F9-AF68-E11A5C71F6B7}" name="総数／事業所数" totalsRowFunction="custom" totalsRowDxfId="138" dataCellStyle="桁区切り" totalsRowCellStyle="桁区切り">
      <totalsRowFormula>SUM(LTBL_28381[総数／事業所数])</totalsRowFormula>
    </tableColumn>
    <tableColumn id="11" xr3:uid="{B1CD66E9-1DEE-4FFC-8FB3-65F266ED6FB8}" name="総数／構成比" dataDxfId="137"/>
    <tableColumn id="12" xr3:uid="{01E141BA-96AD-40BD-A54C-7DE33D466930}" name="個人／事業所数" totalsRowFunction="sum" totalsRowDxfId="136" dataCellStyle="桁区切り" totalsRowCellStyle="桁区切り"/>
    <tableColumn id="13" xr3:uid="{84048C28-8994-4B1A-92E7-379AEC02C161}" name="個人／構成比" dataDxfId="135"/>
    <tableColumn id="14" xr3:uid="{B777C6FD-EC39-45E2-92DC-75B35317AA18}" name="法人／事業所数" totalsRowFunction="sum" totalsRowDxfId="134" dataCellStyle="桁区切り" totalsRowCellStyle="桁区切り"/>
    <tableColumn id="15" xr3:uid="{179446F0-7C68-4681-989E-A6721E1DE41A}" name="法人／構成比" dataDxfId="133"/>
    <tableColumn id="16" xr3:uid="{A38F41B5-E411-40A7-9B44-BCA89AF58867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2207C16B-A81A-425B-AA84-523B856F3A9B}" name="M_TABLE_28381" displayName="M_TABLE_28381" ref="B23:I45" totalsRowShown="0">
  <autoFilter ref="B23:I45" xr:uid="{2207C16B-A81A-425B-AA84-523B856F3A9B}"/>
  <tableColumns count="8">
    <tableColumn id="9" xr3:uid="{98242859-E526-48CD-AA84-DA15BF55D8F5}" name="産業中分類上位２０"/>
    <tableColumn id="10" xr3:uid="{1E2BE039-3085-4D10-866D-D0539191672D}" name="総数／事業所数" dataCellStyle="桁区切り"/>
    <tableColumn id="11" xr3:uid="{869E68DD-8B6C-45A0-A1F4-9F2169603284}" name="総数／構成比" dataDxfId="131"/>
    <tableColumn id="12" xr3:uid="{53AE2724-A078-4E43-9989-8A886C600262}" name="個人／事業所数" dataCellStyle="桁区切り"/>
    <tableColumn id="13" xr3:uid="{854B98BF-CB0F-4DAB-9260-715834BBDD35}" name="個人／構成比" dataDxfId="130"/>
    <tableColumn id="14" xr3:uid="{C5C3361C-2C74-44F0-B4B7-C235E6B41447}" name="法人／事業所数" dataCellStyle="桁区切り"/>
    <tableColumn id="15" xr3:uid="{329916E3-2C3C-442A-93A5-D9CB5192B50B}" name="法人／構成比" dataDxfId="129"/>
    <tableColumn id="16" xr3:uid="{5D98889D-3E96-49D9-A92E-6C667BF01A06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C136B2DE-AE77-453C-80D2-07D5367B2504}" name="S_TABLE_28381" displayName="S_TABLE_28381" ref="B48:I69" totalsRowShown="0">
  <autoFilter ref="B48:I69" xr:uid="{C136B2DE-AE77-453C-80D2-07D5367B2504}"/>
  <tableColumns count="8">
    <tableColumn id="9" xr3:uid="{37214733-084C-4140-B15E-303C1E07B676}" name="産業小分類上位２０"/>
    <tableColumn id="10" xr3:uid="{764C3FC3-95ED-4E0D-B63A-742D27B80208}" name="総数／事業所数" dataCellStyle="桁区切り"/>
    <tableColumn id="11" xr3:uid="{907AB084-71DC-4AE9-A342-3E736D594764}" name="総数／構成比" dataDxfId="128"/>
    <tableColumn id="12" xr3:uid="{0E615A97-8C13-418D-B7A1-48900F1E670B}" name="個人／事業所数" dataCellStyle="桁区切り"/>
    <tableColumn id="13" xr3:uid="{1D0B4AD2-68F4-4A39-BE96-3126734EA81F}" name="個人／構成比" dataDxfId="127"/>
    <tableColumn id="14" xr3:uid="{3151726E-3520-4680-BEF4-691D31D4A61B}" name="法人／事業所数" dataCellStyle="桁区切り"/>
    <tableColumn id="15" xr3:uid="{91E0031E-6E0C-4C19-ACB6-608A11A35456}" name="法人／構成比" dataDxfId="126"/>
    <tableColumn id="16" xr3:uid="{5DA726C4-C00E-44E8-87E1-1228DED90BCB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CEB1943D-0F27-495F-BA45-379569629C62}" name="LTBL_28382" displayName="LTBL_28382" ref="B4:I20" totalsRowCount="1">
  <autoFilter ref="B4:I19" xr:uid="{CEB1943D-0F27-495F-BA45-379569629C62}"/>
  <tableColumns count="8">
    <tableColumn id="9" xr3:uid="{CA931068-268B-442D-BC9A-0039EE48B19B}" name="産業大分類" totalsRowLabel="合計" totalsRowDxfId="125"/>
    <tableColumn id="10" xr3:uid="{F9EBD86B-E792-4700-9211-779E579F1D77}" name="総数／事業所数" totalsRowFunction="custom" totalsRowDxfId="124" dataCellStyle="桁区切り" totalsRowCellStyle="桁区切り">
      <totalsRowFormula>SUM(LTBL_28382[総数／事業所数])</totalsRowFormula>
    </tableColumn>
    <tableColumn id="11" xr3:uid="{3C9C9669-FBE9-41CB-8BEB-DD61A944E3D8}" name="総数／構成比" dataDxfId="123"/>
    <tableColumn id="12" xr3:uid="{142C61AE-1C31-44E0-B142-E2CDFAEAA02B}" name="個人／事業所数" totalsRowFunction="sum" totalsRowDxfId="122" dataCellStyle="桁区切り" totalsRowCellStyle="桁区切り"/>
    <tableColumn id="13" xr3:uid="{50992EEC-CF08-4B19-8E35-9F68416D1E68}" name="個人／構成比" dataDxfId="121"/>
    <tableColumn id="14" xr3:uid="{CD57C6D0-4232-4A61-A780-B14E1C050E2C}" name="法人／事業所数" totalsRowFunction="sum" totalsRowDxfId="120" dataCellStyle="桁区切り" totalsRowCellStyle="桁区切り"/>
    <tableColumn id="15" xr3:uid="{C78B6588-A76D-4591-9BCA-2BF512FC3EDD}" name="法人／構成比" dataDxfId="119"/>
    <tableColumn id="16" xr3:uid="{15AA907B-3BFD-485A-81A3-F7505CA1FA8B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86A06964-CE15-4092-A048-A1EE6705DB12}" name="M_TABLE_28382" displayName="M_TABLE_28382" ref="B23:I43" totalsRowShown="0">
  <autoFilter ref="B23:I43" xr:uid="{86A06964-CE15-4092-A048-A1EE6705DB12}"/>
  <tableColumns count="8">
    <tableColumn id="9" xr3:uid="{FBB7E0C1-4677-4121-900B-2CDF82B7AE4B}" name="産業中分類上位２０"/>
    <tableColumn id="10" xr3:uid="{E0A05D06-56B0-49B4-A2C2-27042AD41E6B}" name="総数／事業所数" dataCellStyle="桁区切り"/>
    <tableColumn id="11" xr3:uid="{1F4854BA-37F8-4986-AEEF-C741E0DAB5DA}" name="総数／構成比" dataDxfId="117"/>
    <tableColumn id="12" xr3:uid="{5D3F92FA-7DBA-419A-B605-4938FB686DED}" name="個人／事業所数" dataCellStyle="桁区切り"/>
    <tableColumn id="13" xr3:uid="{07355B15-CE87-4459-BBCC-D44A292F526B}" name="個人／構成比" dataDxfId="116"/>
    <tableColumn id="14" xr3:uid="{C9D972E7-E0C4-4491-9741-0A68BC297D61}" name="法人／事業所数" dataCellStyle="桁区切り"/>
    <tableColumn id="15" xr3:uid="{2548749C-0233-44C7-9EB9-034709D8308F}" name="法人／構成比" dataDxfId="115"/>
    <tableColumn id="16" xr3:uid="{87F1802C-280D-46BE-8663-60727E45871B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2159F98A-2007-4CC9-B10F-4C16FDA22696}" name="S_TABLE_28382" displayName="S_TABLE_28382" ref="B46:I68" totalsRowShown="0">
  <autoFilter ref="B46:I68" xr:uid="{2159F98A-2007-4CC9-B10F-4C16FDA22696}"/>
  <tableColumns count="8">
    <tableColumn id="9" xr3:uid="{1E0B3018-2061-4841-9803-4CB98962DCD3}" name="産業小分類上位２０"/>
    <tableColumn id="10" xr3:uid="{F7CB67B5-FE94-4A04-8D8C-0F7CDA7C0252}" name="総数／事業所数" dataCellStyle="桁区切り"/>
    <tableColumn id="11" xr3:uid="{2AE61A57-38B2-455F-97DA-5E79B9A813DD}" name="総数／構成比" dataDxfId="114"/>
    <tableColumn id="12" xr3:uid="{0D973D4E-88DA-4B96-AF4C-CBD03BB0BFAD}" name="個人／事業所数" dataCellStyle="桁区切り"/>
    <tableColumn id="13" xr3:uid="{94FC58A0-3445-4957-BA9D-3C196499172E}" name="個人／構成比" dataDxfId="113"/>
    <tableColumn id="14" xr3:uid="{C2B6D60C-A4D6-4465-A669-81FFEE3FE988}" name="法人／事業所数" dataCellStyle="桁区切り"/>
    <tableColumn id="15" xr3:uid="{41861E3D-1BA4-4FA3-948C-C0CA1C3C437A}" name="法人／構成比" dataDxfId="112"/>
    <tableColumn id="16" xr3:uid="{199FDCBC-9B73-4F2D-8979-F9806C788D72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03D3D3D-C2A7-4875-A2FD-860EB5B7BD4D}" name="LTBL_28105" displayName="LTBL_28105" ref="B4:I20" totalsRowCount="1">
  <autoFilter ref="B4:I19" xr:uid="{803D3D3D-C2A7-4875-A2FD-860EB5B7BD4D}"/>
  <tableColumns count="8">
    <tableColumn id="9" xr3:uid="{96BFBF5F-B16F-441E-A9A8-F9F6060956C3}" name="産業大分類" totalsRowLabel="合計" totalsRowDxfId="657"/>
    <tableColumn id="10" xr3:uid="{42172345-D6B3-432D-8EFE-459303099BDA}" name="総数／事業所数" totalsRowFunction="custom" totalsRowDxfId="656" dataCellStyle="桁区切り" totalsRowCellStyle="桁区切り">
      <totalsRowFormula>SUM(LTBL_28105[総数／事業所数])</totalsRowFormula>
    </tableColumn>
    <tableColumn id="11" xr3:uid="{013A2DC9-538C-4B50-9397-B34D81C0840B}" name="総数／構成比" dataDxfId="655"/>
    <tableColumn id="12" xr3:uid="{587D1186-A163-4978-B4B0-4E400CDF53A0}" name="個人／事業所数" totalsRowFunction="sum" totalsRowDxfId="654" dataCellStyle="桁区切り" totalsRowCellStyle="桁区切り"/>
    <tableColumn id="13" xr3:uid="{BCCE4E0C-DBA3-48A3-A71A-C1D1782B209F}" name="個人／構成比" dataDxfId="653"/>
    <tableColumn id="14" xr3:uid="{047B4877-B8FD-4CAE-94C4-7B92998BEA00}" name="法人／事業所数" totalsRowFunction="sum" totalsRowDxfId="652" dataCellStyle="桁区切り" totalsRowCellStyle="桁区切り"/>
    <tableColumn id="15" xr3:uid="{9E75992D-B65D-4B9F-8E06-E12EE23FBE0B}" name="法人／構成比" dataDxfId="651"/>
    <tableColumn id="16" xr3:uid="{444D95CE-319B-4611-89DE-A68FA2CEFD35}" name="法人以外の団体／事業所数" totalsRowFunction="sum" totalsRowDxfId="650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C107688A-ED7F-4028-9E41-E78E8AAE3E31}" name="LTBL_28442" displayName="LTBL_28442" ref="B4:I20" totalsRowCount="1">
  <autoFilter ref="B4:I19" xr:uid="{C107688A-ED7F-4028-9E41-E78E8AAE3E31}"/>
  <tableColumns count="8">
    <tableColumn id="9" xr3:uid="{B544734D-BE84-4FD4-A828-BC1A42762F3E}" name="産業大分類" totalsRowLabel="合計" totalsRowDxfId="111"/>
    <tableColumn id="10" xr3:uid="{BC445A06-5218-499E-82B7-0F92185D309A}" name="総数／事業所数" totalsRowFunction="custom" totalsRowDxfId="110" dataCellStyle="桁区切り" totalsRowCellStyle="桁区切り">
      <totalsRowFormula>SUM(LTBL_28442[総数／事業所数])</totalsRowFormula>
    </tableColumn>
    <tableColumn id="11" xr3:uid="{B1DD54C3-E7B4-4053-9CBB-D48A8899106A}" name="総数／構成比" dataDxfId="109"/>
    <tableColumn id="12" xr3:uid="{C4F0384C-A46D-4BC5-8FF2-A4F08F6E3745}" name="個人／事業所数" totalsRowFunction="sum" totalsRowDxfId="108" dataCellStyle="桁区切り" totalsRowCellStyle="桁区切り"/>
    <tableColumn id="13" xr3:uid="{C699C26C-149E-4AFE-AC12-2FFFE66541A6}" name="個人／構成比" dataDxfId="107"/>
    <tableColumn id="14" xr3:uid="{DC614F89-7CB0-47E8-B466-286B34CDCEA0}" name="法人／事業所数" totalsRowFunction="sum" totalsRowDxfId="106" dataCellStyle="桁区切り" totalsRowCellStyle="桁区切り"/>
    <tableColumn id="15" xr3:uid="{79FAFB41-877A-4C75-98F5-6BD4653CEB71}" name="法人／構成比" dataDxfId="105"/>
    <tableColumn id="16" xr3:uid="{31CBD2D5-33FB-452C-80DF-7F3AC1AC7A00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E916A4A5-AE05-48CF-A612-BC8417B4C8A9}" name="M_TABLE_28442" displayName="M_TABLE_28442" ref="B23:I45" totalsRowShown="0">
  <autoFilter ref="B23:I45" xr:uid="{E916A4A5-AE05-48CF-A612-BC8417B4C8A9}"/>
  <tableColumns count="8">
    <tableColumn id="9" xr3:uid="{0677DD86-09C9-47F1-AE9E-9DAFA5678011}" name="産業中分類上位２０"/>
    <tableColumn id="10" xr3:uid="{127525F6-6290-484F-8354-523F2649FD30}" name="総数／事業所数" dataCellStyle="桁区切り"/>
    <tableColumn id="11" xr3:uid="{96692606-62B9-44BE-BCED-D62F4F1E03B2}" name="総数／構成比" dataDxfId="103"/>
    <tableColumn id="12" xr3:uid="{39BDCEB9-AAED-428F-9D0D-0494FEBE34B1}" name="個人／事業所数" dataCellStyle="桁区切り"/>
    <tableColumn id="13" xr3:uid="{25A49903-2283-4C16-878C-71A30A204685}" name="個人／構成比" dataDxfId="102"/>
    <tableColumn id="14" xr3:uid="{B4B661D4-7940-47D3-9F27-A3667E5825EF}" name="法人／事業所数" dataCellStyle="桁区切り"/>
    <tableColumn id="15" xr3:uid="{56F7861F-78D4-4E89-869D-EBBD09C655C8}" name="法人／構成比" dataDxfId="101"/>
    <tableColumn id="16" xr3:uid="{69F74CBD-A5B1-44EB-880A-F6591F05CAC7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99F9A532-A01B-413F-9AC7-73D67D7AED64}" name="S_TABLE_28442" displayName="S_TABLE_28442" ref="B48:I69" totalsRowShown="0">
  <autoFilter ref="B48:I69" xr:uid="{99F9A532-A01B-413F-9AC7-73D67D7AED64}"/>
  <tableColumns count="8">
    <tableColumn id="9" xr3:uid="{0F84194D-B835-4819-9D91-B99F9E465137}" name="産業小分類上位２０"/>
    <tableColumn id="10" xr3:uid="{F08CB021-6D11-4585-91B1-F31A0CA5492B}" name="総数／事業所数" dataCellStyle="桁区切り"/>
    <tableColumn id="11" xr3:uid="{B99D7222-A3D7-4A33-8F9F-4DAF0B25B8EF}" name="総数／構成比" dataDxfId="100"/>
    <tableColumn id="12" xr3:uid="{B4A74C04-D67C-4E8E-963A-0E1AEBD5E0D1}" name="個人／事業所数" dataCellStyle="桁区切り"/>
    <tableColumn id="13" xr3:uid="{EB0704F8-E261-40D5-81AB-33995EBB4FC8}" name="個人／構成比" dataDxfId="99"/>
    <tableColumn id="14" xr3:uid="{BF8CCED9-6B5B-4D4A-9D2E-888DBE5D3BF8}" name="法人／事業所数" dataCellStyle="桁区切り"/>
    <tableColumn id="15" xr3:uid="{95679036-E77E-4727-B2DA-6F68C7A84AE7}" name="法人／構成比" dataDxfId="98"/>
    <tableColumn id="16" xr3:uid="{E1FBDE3D-6053-42D1-ACE0-0134595247E0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91A84DAE-BEF1-49BD-9986-4AAF8629E4CD}" name="LTBL_28443" displayName="LTBL_28443" ref="B4:I20" totalsRowCount="1">
  <autoFilter ref="B4:I19" xr:uid="{91A84DAE-BEF1-49BD-9986-4AAF8629E4CD}"/>
  <tableColumns count="8">
    <tableColumn id="9" xr3:uid="{481B709E-F918-4957-9FD6-AD584D2D2063}" name="産業大分類" totalsRowLabel="合計" totalsRowDxfId="97"/>
    <tableColumn id="10" xr3:uid="{C5742A54-44D4-409D-A727-37E2C1CF4171}" name="総数／事業所数" totalsRowFunction="custom" totalsRowDxfId="96" dataCellStyle="桁区切り" totalsRowCellStyle="桁区切り">
      <totalsRowFormula>SUM(LTBL_28443[総数／事業所数])</totalsRowFormula>
    </tableColumn>
    <tableColumn id="11" xr3:uid="{9F4EBEF5-9F7F-4EA9-9F09-3B7A2DFBF8B9}" name="総数／構成比" dataDxfId="95"/>
    <tableColumn id="12" xr3:uid="{DE977D55-C4DD-4838-B690-608CC5365290}" name="個人／事業所数" totalsRowFunction="sum" totalsRowDxfId="94" dataCellStyle="桁区切り" totalsRowCellStyle="桁区切り"/>
    <tableColumn id="13" xr3:uid="{5C255FBB-6040-4EFF-93D3-17EE163F6F24}" name="個人／構成比" dataDxfId="93"/>
    <tableColumn id="14" xr3:uid="{0F1A5D00-6BA7-407C-95E0-F65B83A5141F}" name="法人／事業所数" totalsRowFunction="sum" totalsRowDxfId="92" dataCellStyle="桁区切り" totalsRowCellStyle="桁区切り"/>
    <tableColumn id="15" xr3:uid="{EC069B98-3F86-48FD-976E-8936AA5196FD}" name="法人／構成比" dataDxfId="91"/>
    <tableColumn id="16" xr3:uid="{9C509A70-F1E2-458A-97F0-5945E4F5A273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DF9CD273-0110-45FE-96DC-4AD6DDA5A17B}" name="M_TABLE_28443" displayName="M_TABLE_28443" ref="B23:I48" totalsRowShown="0">
  <autoFilter ref="B23:I48" xr:uid="{DF9CD273-0110-45FE-96DC-4AD6DDA5A17B}"/>
  <tableColumns count="8">
    <tableColumn id="9" xr3:uid="{6DDD3089-CD3E-433A-B8A9-04F87B7264D1}" name="産業中分類上位２０"/>
    <tableColumn id="10" xr3:uid="{082D9908-16A5-4724-B6B2-DA4D1FAB95D4}" name="総数／事業所数" dataCellStyle="桁区切り"/>
    <tableColumn id="11" xr3:uid="{ED73AF5E-C386-4268-B575-AE183AF8A08B}" name="総数／構成比" dataDxfId="89"/>
    <tableColumn id="12" xr3:uid="{FF82B2EF-A108-4EF6-9AE5-25BB6025E235}" name="個人／事業所数" dataCellStyle="桁区切り"/>
    <tableColumn id="13" xr3:uid="{C7872E1F-6A93-42B9-A9FB-256798E0C817}" name="個人／構成比" dataDxfId="88"/>
    <tableColumn id="14" xr3:uid="{46DF86A6-2543-41E8-8893-DC4EB6E85B91}" name="法人／事業所数" dataCellStyle="桁区切り"/>
    <tableColumn id="15" xr3:uid="{80024BAF-B046-40B4-8A41-6ABECB952CB5}" name="法人／構成比" dataDxfId="87"/>
    <tableColumn id="16" xr3:uid="{9B9F3B8B-3815-41FD-8B91-7E697F28F630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93A0F853-CD35-4D0B-B6C2-FFDA6FAD8374}" name="S_TABLE_28443" displayName="S_TABLE_28443" ref="B51:I79" totalsRowShown="0">
  <autoFilter ref="B51:I79" xr:uid="{93A0F853-CD35-4D0B-B6C2-FFDA6FAD8374}"/>
  <tableColumns count="8">
    <tableColumn id="9" xr3:uid="{4A067D1C-3FF8-4821-9337-A7F1EBD51DBD}" name="産業小分類上位２０"/>
    <tableColumn id="10" xr3:uid="{C892829D-142F-4F23-B86A-A58268BD94DE}" name="総数／事業所数" dataCellStyle="桁区切り"/>
    <tableColumn id="11" xr3:uid="{D7F76069-9C1C-4548-8F33-34FBCE94E418}" name="総数／構成比" dataDxfId="86"/>
    <tableColumn id="12" xr3:uid="{B17F8360-199C-4D7A-9EF7-A96150E5A2D9}" name="個人／事業所数" dataCellStyle="桁区切り"/>
    <tableColumn id="13" xr3:uid="{5CB6E702-EC8A-421E-832A-BE2CECA8AEF5}" name="個人／構成比" dataDxfId="85"/>
    <tableColumn id="14" xr3:uid="{FFA689DB-0412-4FF6-B18B-98244C9A4D1D}" name="法人／事業所数" dataCellStyle="桁区切り"/>
    <tableColumn id="15" xr3:uid="{75F4B51D-EE17-4C3A-B9E4-4611E1F46977}" name="法人／構成比" dataDxfId="84"/>
    <tableColumn id="16" xr3:uid="{9ACE181E-66C1-40B4-92DC-3870488C46C6}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9BBBE28D-3677-472D-90F8-528B787B941E}" name="LTBL_28446" displayName="LTBL_28446" ref="B4:I20" totalsRowCount="1">
  <autoFilter ref="B4:I19" xr:uid="{9BBBE28D-3677-472D-90F8-528B787B941E}"/>
  <tableColumns count="8">
    <tableColumn id="9" xr3:uid="{15DE0AA4-DD64-4CC4-BC67-647564F45758}" name="産業大分類" totalsRowLabel="合計" totalsRowDxfId="83"/>
    <tableColumn id="10" xr3:uid="{A85F5FFE-9784-40C7-A68E-6306AA797A05}" name="総数／事業所数" totalsRowFunction="custom" totalsRowDxfId="82" dataCellStyle="桁区切り" totalsRowCellStyle="桁区切り">
      <totalsRowFormula>SUM(LTBL_28446[総数／事業所数])</totalsRowFormula>
    </tableColumn>
    <tableColumn id="11" xr3:uid="{A43B403E-2D4E-42CA-99F7-C50D6507355F}" name="総数／構成比" dataDxfId="81"/>
    <tableColumn id="12" xr3:uid="{0692C5C6-001A-4EC2-B191-C94250307F21}" name="個人／事業所数" totalsRowFunction="sum" totalsRowDxfId="80" dataCellStyle="桁区切り" totalsRowCellStyle="桁区切り"/>
    <tableColumn id="13" xr3:uid="{1EBDBD84-3609-4A8E-9B2A-FC8BFEA334D0}" name="個人／構成比" dataDxfId="79"/>
    <tableColumn id="14" xr3:uid="{6969DFF1-E560-46DC-9BC8-E13EDBADE0D3}" name="法人／事業所数" totalsRowFunction="sum" totalsRowDxfId="78" dataCellStyle="桁区切り" totalsRowCellStyle="桁区切り"/>
    <tableColumn id="15" xr3:uid="{2CEEAFB0-91E1-4E42-A385-CD77585A270D}" name="法人／構成比" dataDxfId="77"/>
    <tableColumn id="16" xr3:uid="{456D7C70-DF03-4BA4-A65A-8393F704A636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6A56AE6A-09EA-44BD-9C53-3ACC912239AC}" name="M_TABLE_28446" displayName="M_TABLE_28446" ref="B23:I45" totalsRowShown="0">
  <autoFilter ref="B23:I45" xr:uid="{6A56AE6A-09EA-44BD-9C53-3ACC912239AC}"/>
  <tableColumns count="8">
    <tableColumn id="9" xr3:uid="{B3F485E5-E77D-4E88-BC7C-430DB005B4F9}" name="産業中分類上位２０"/>
    <tableColumn id="10" xr3:uid="{B7612275-A0BC-4F21-BB95-7CFFACB33A66}" name="総数／事業所数" dataCellStyle="桁区切り"/>
    <tableColumn id="11" xr3:uid="{96D0BBD5-A158-404B-A6BE-0098309964AF}" name="総数／構成比" dataDxfId="75"/>
    <tableColumn id="12" xr3:uid="{16BA336B-ACBB-4C74-88E6-C6EEA0134528}" name="個人／事業所数" dataCellStyle="桁区切り"/>
    <tableColumn id="13" xr3:uid="{EBCC192F-A0A4-4CE5-9003-1F637C50E4D3}" name="個人／構成比" dataDxfId="74"/>
    <tableColumn id="14" xr3:uid="{27E7BF43-AAF7-4F2A-A2B4-FE9E99F570D8}" name="法人／事業所数" dataCellStyle="桁区切り"/>
    <tableColumn id="15" xr3:uid="{BF5C38A9-4877-450B-831A-C23C3EB2810D}" name="法人／構成比" dataDxfId="73"/>
    <tableColumn id="16" xr3:uid="{120E97E6-B0E1-4908-A821-B1C7F035363C}" name="法人以外の団体／事業所数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B41E19CA-CC0E-4BB8-B5F4-867D7E659A96}" name="S_TABLE_28446" displayName="S_TABLE_28446" ref="B48:I70" totalsRowShown="0">
  <autoFilter ref="B48:I70" xr:uid="{B41E19CA-CC0E-4BB8-B5F4-867D7E659A96}"/>
  <tableColumns count="8">
    <tableColumn id="9" xr3:uid="{58E96AFB-8A98-43CE-8547-FE036C1DC437}" name="産業小分類上位２０"/>
    <tableColumn id="10" xr3:uid="{D46198B9-6E00-49B7-834E-9E5A8CA12333}" name="総数／事業所数" dataCellStyle="桁区切り"/>
    <tableColumn id="11" xr3:uid="{AD521F6C-D88C-4AAA-89A9-11BDD62411A8}" name="総数／構成比" dataDxfId="72"/>
    <tableColumn id="12" xr3:uid="{74BB8E71-586D-41BD-89E5-867D59E5DE57}" name="個人／事業所数" dataCellStyle="桁区切り"/>
    <tableColumn id="13" xr3:uid="{2B0DE6F9-0465-4192-856F-CD7F609B5863}" name="個人／構成比" dataDxfId="71"/>
    <tableColumn id="14" xr3:uid="{78C4A755-E43E-4CD6-97D5-DCB66895D144}" name="法人／事業所数" dataCellStyle="桁区切り"/>
    <tableColumn id="15" xr3:uid="{173432CE-759E-4B78-9814-385719C03747}" name="法人／構成比" dataDxfId="70"/>
    <tableColumn id="16" xr3:uid="{236A811D-4EEF-474D-9578-35879B1EA049}" name="法人以外の団体／事業所数" dataCellStyle="桁区切り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14279C6A-7A37-4AA1-8E77-2944E5C133BA}" name="LTBL_28464" displayName="LTBL_28464" ref="B4:I20" totalsRowCount="1">
  <autoFilter ref="B4:I19" xr:uid="{14279C6A-7A37-4AA1-8E77-2944E5C133BA}"/>
  <tableColumns count="8">
    <tableColumn id="9" xr3:uid="{B42AE879-C6D1-414D-BE14-64615ABDDD01}" name="産業大分類" totalsRowLabel="合計" totalsRowDxfId="69"/>
    <tableColumn id="10" xr3:uid="{4C39A764-681C-47AC-8729-D619E204AD23}" name="総数／事業所数" totalsRowFunction="custom" totalsRowDxfId="68" dataCellStyle="桁区切り" totalsRowCellStyle="桁区切り">
      <totalsRowFormula>SUM(LTBL_28464[総数／事業所数])</totalsRowFormula>
    </tableColumn>
    <tableColumn id="11" xr3:uid="{5E5411A7-42F3-45A9-9AFB-951E0ABFF9DC}" name="総数／構成比" dataDxfId="67"/>
    <tableColumn id="12" xr3:uid="{FCAE6F6C-E9B4-4419-97D3-FAB8FB9F6622}" name="個人／事業所数" totalsRowFunction="sum" totalsRowDxfId="66" dataCellStyle="桁区切り" totalsRowCellStyle="桁区切り"/>
    <tableColumn id="13" xr3:uid="{C0F5BF22-0EDA-48B9-A926-8940A4793B4A}" name="個人／構成比" dataDxfId="65"/>
    <tableColumn id="14" xr3:uid="{E2996A53-EA13-4C42-BC8D-008DFC267646}" name="法人／事業所数" totalsRowFunction="sum" totalsRowDxfId="64" dataCellStyle="桁区切り" totalsRowCellStyle="桁区切り"/>
    <tableColumn id="15" xr3:uid="{88A69CB4-8A14-4DBF-9F43-0416666B267F}" name="法人／構成比" dataDxfId="63"/>
    <tableColumn id="16" xr3:uid="{DD85FD7A-B7C4-408B-AF62-A02A29A3B2CF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2135D77-C396-4D06-BB29-1F306F22056F}" name="M_TABLE_28105" displayName="M_TABLE_28105" ref="B23:I44" totalsRowShown="0">
  <autoFilter ref="B23:I44" xr:uid="{02135D77-C396-4D06-BB29-1F306F22056F}"/>
  <tableColumns count="8">
    <tableColumn id="9" xr3:uid="{9E09B1B0-BA0B-4154-AA7F-D82188AA7E6A}" name="産業中分類上位２０"/>
    <tableColumn id="10" xr3:uid="{7544B68F-123C-449F-A8DF-9064403BE71B}" name="総数／事業所数" dataCellStyle="桁区切り"/>
    <tableColumn id="11" xr3:uid="{DD7AFD32-DE66-4D9B-BF7D-938771E9A287}" name="総数／構成比" dataDxfId="649"/>
    <tableColumn id="12" xr3:uid="{5EE3D99C-C445-49C0-AE1D-386CA32A2CBD}" name="個人／事業所数" dataCellStyle="桁区切り"/>
    <tableColumn id="13" xr3:uid="{D513A74F-6608-4F92-9BD9-B43B4106A9AD}" name="個人／構成比" dataDxfId="648"/>
    <tableColumn id="14" xr3:uid="{0BE6E6DC-BA6E-4C5D-8094-6110337BB75B}" name="法人／事業所数" dataCellStyle="桁区切り"/>
    <tableColumn id="15" xr3:uid="{630BFD33-070A-4797-B93B-DDA059C19BEB}" name="法人／構成比" dataDxfId="647"/>
    <tableColumn id="16" xr3:uid="{73BC6951-441B-4901-8752-CFE5AE5D30DE}" name="法人以外の団体／事業所数" dataCellStyle="桁区切り"/>
  </tableColumns>
  <tableStyleInfo name="TableStyleMedium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548FF77E-24EF-4C10-8DC6-25EBFC77E42E}" name="M_TABLE_28464" displayName="M_TABLE_28464" ref="B23:I44" totalsRowShown="0">
  <autoFilter ref="B23:I44" xr:uid="{548FF77E-24EF-4C10-8DC6-25EBFC77E42E}"/>
  <tableColumns count="8">
    <tableColumn id="9" xr3:uid="{B64DA882-1E59-4382-AC59-D79639656C48}" name="産業中分類上位２０"/>
    <tableColumn id="10" xr3:uid="{30DCE722-E311-4830-96B9-94070758FE54}" name="総数／事業所数" dataCellStyle="桁区切り"/>
    <tableColumn id="11" xr3:uid="{F80CA135-0B30-476B-999D-7269C400FD79}" name="総数／構成比" dataDxfId="61"/>
    <tableColumn id="12" xr3:uid="{50C51DAB-52C6-4782-A44A-187D231FD4E9}" name="個人／事業所数" dataCellStyle="桁区切り"/>
    <tableColumn id="13" xr3:uid="{E7ACEB09-FAF3-428D-9019-7A8112F9A2E1}" name="個人／構成比" dataDxfId="60"/>
    <tableColumn id="14" xr3:uid="{71C3F003-3DE0-49C7-8897-F37237F983E5}" name="法人／事業所数" dataCellStyle="桁区切り"/>
    <tableColumn id="15" xr3:uid="{3DDE1393-3C92-4EBC-81AE-4A8D2BCDF56B}" name="法人／構成比" dataDxfId="59"/>
    <tableColumn id="16" xr3:uid="{F2322985-8742-499E-BF7E-FABC98F3C69E}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AD7AA0D3-2E15-483B-8C6B-7A14B856C5C5}" name="S_TABLE_28464" displayName="S_TABLE_28464" ref="B47:I68" totalsRowShown="0">
  <autoFilter ref="B47:I68" xr:uid="{AD7AA0D3-2E15-483B-8C6B-7A14B856C5C5}"/>
  <tableColumns count="8">
    <tableColumn id="9" xr3:uid="{7DE8F2DB-0209-45DF-A8F2-5E2B7B12CC94}" name="産業小分類上位２０"/>
    <tableColumn id="10" xr3:uid="{09E5E4E0-64A6-42E0-B659-82069D1E2CF0}" name="総数／事業所数" dataCellStyle="桁区切り"/>
    <tableColumn id="11" xr3:uid="{A0C306AC-DDB2-4279-A370-6FDEC614A77D}" name="総数／構成比" dataDxfId="58"/>
    <tableColumn id="12" xr3:uid="{CEDBCE11-ABB7-45CC-BCBD-A3CF9E621AFB}" name="個人／事業所数" dataCellStyle="桁区切り"/>
    <tableColumn id="13" xr3:uid="{2D58B631-0A63-4C74-884A-48D64D25BC47}" name="個人／構成比" dataDxfId="57"/>
    <tableColumn id="14" xr3:uid="{60D676B0-6073-4852-81D8-62BF70003BF8}" name="法人／事業所数" dataCellStyle="桁区切り"/>
    <tableColumn id="15" xr3:uid="{85C2A12B-1EBB-4D20-91C9-4714E532D7F5}" name="法人／構成比" dataDxfId="56"/>
    <tableColumn id="16" xr3:uid="{FA0B453E-63CB-41C7-9072-17E03BC0FE74}" name="法人以外の団体／事業所数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6A5D195B-AF74-48F3-8CCE-D147573FFA89}" name="LTBL_28481" displayName="LTBL_28481" ref="B4:I20" totalsRowCount="1">
  <autoFilter ref="B4:I19" xr:uid="{6A5D195B-AF74-48F3-8CCE-D147573FFA89}"/>
  <tableColumns count="8">
    <tableColumn id="9" xr3:uid="{4EAFD6EF-DACA-45D9-8F92-C3FA8B5D1CB0}" name="産業大分類" totalsRowLabel="合計" totalsRowDxfId="55"/>
    <tableColumn id="10" xr3:uid="{3162228E-753E-4256-829C-844667E953D2}" name="総数／事業所数" totalsRowFunction="custom" totalsRowDxfId="54" dataCellStyle="桁区切り" totalsRowCellStyle="桁区切り">
      <totalsRowFormula>SUM(LTBL_28481[総数／事業所数])</totalsRowFormula>
    </tableColumn>
    <tableColumn id="11" xr3:uid="{F3CEF403-7A90-49C0-A023-656E79C05155}" name="総数／構成比" dataDxfId="53"/>
    <tableColumn id="12" xr3:uid="{E5FFC3D4-91D8-453B-B7A9-E3B96AFD310C}" name="個人／事業所数" totalsRowFunction="sum" totalsRowDxfId="52" dataCellStyle="桁区切り" totalsRowCellStyle="桁区切り"/>
    <tableColumn id="13" xr3:uid="{A2AC84FF-2BF6-4D43-8D73-370571263096}" name="個人／構成比" dataDxfId="51"/>
    <tableColumn id="14" xr3:uid="{0E7C77D6-9DCE-4C05-AEE5-4E57435DF308}" name="法人／事業所数" totalsRowFunction="sum" totalsRowDxfId="50" dataCellStyle="桁区切り" totalsRowCellStyle="桁区切り"/>
    <tableColumn id="15" xr3:uid="{729E6800-256C-4369-9C17-DE14C8DBFAFB}" name="法人／構成比" dataDxfId="49"/>
    <tableColumn id="16" xr3:uid="{9C724D80-BDDB-4DA2-B73B-E4CBE9EF87FF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95C72C8F-D46B-4785-A5EC-848EDEB06B6E}" name="M_TABLE_28481" displayName="M_TABLE_28481" ref="B23:I44" totalsRowShown="0">
  <autoFilter ref="B23:I44" xr:uid="{95C72C8F-D46B-4785-A5EC-848EDEB06B6E}"/>
  <tableColumns count="8">
    <tableColumn id="9" xr3:uid="{CD10DDF5-F909-465A-B3A7-5297E70DD5F7}" name="産業中分類上位２０"/>
    <tableColumn id="10" xr3:uid="{0AADF315-7CFA-407C-97D5-054D8F36D029}" name="総数／事業所数" dataCellStyle="桁区切り"/>
    <tableColumn id="11" xr3:uid="{46AD0215-A3F3-4D82-89F1-492854BA4AC7}" name="総数／構成比" dataDxfId="47"/>
    <tableColumn id="12" xr3:uid="{40F10932-F7C1-4AE6-A45B-9D4AA551C5C7}" name="個人／事業所数" dataCellStyle="桁区切り"/>
    <tableColumn id="13" xr3:uid="{1D0992A8-D493-4431-8ED0-A6214E11A92B}" name="個人／構成比" dataDxfId="46"/>
    <tableColumn id="14" xr3:uid="{235F62BC-5B35-491E-AC19-990389BF736B}" name="法人／事業所数" dataCellStyle="桁区切り"/>
    <tableColumn id="15" xr3:uid="{E2713436-1996-44D4-AC12-6D2DFF7A2E75}" name="法人／構成比" dataDxfId="45"/>
    <tableColumn id="16" xr3:uid="{6769AB4C-BA41-4A00-ACEF-5E867AC613CB}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26B6788F-7619-48A0-874C-6144995FF632}" name="S_TABLE_28481" displayName="S_TABLE_28481" ref="B47:I71" totalsRowShown="0">
  <autoFilter ref="B47:I71" xr:uid="{26B6788F-7619-48A0-874C-6144995FF632}"/>
  <tableColumns count="8">
    <tableColumn id="9" xr3:uid="{F117169B-E3BF-457F-9A20-81B2C787FB0B}" name="産業小分類上位２０"/>
    <tableColumn id="10" xr3:uid="{5AD9B176-7DCA-4028-867B-7EDACED4521E}" name="総数／事業所数" dataCellStyle="桁区切り"/>
    <tableColumn id="11" xr3:uid="{FB0D2A75-C772-4FD8-ABD1-1C23E2672576}" name="総数／構成比" dataDxfId="44"/>
    <tableColumn id="12" xr3:uid="{054F430C-D291-4837-99EA-48695897F3A1}" name="個人／事業所数" dataCellStyle="桁区切り"/>
    <tableColumn id="13" xr3:uid="{3201B3BF-57C3-4F81-BC1A-7EDF1CE84DB0}" name="個人／構成比" dataDxfId="43"/>
    <tableColumn id="14" xr3:uid="{3DCC72AC-C2CA-4D24-A99E-4660AC3B4451}" name="法人／事業所数" dataCellStyle="桁区切り"/>
    <tableColumn id="15" xr3:uid="{FBB86FDF-A068-4DDA-9E8D-4CF447289DD8}" name="法人／構成比" dataDxfId="42"/>
    <tableColumn id="16" xr3:uid="{1DD6F2F2-34BC-49DD-BF77-B413A4568195}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9F40A55F-5D88-406D-8FAE-BB6EA3745E01}" name="LTBL_28501" displayName="LTBL_28501" ref="B4:I20" totalsRowCount="1">
  <autoFilter ref="B4:I19" xr:uid="{9F40A55F-5D88-406D-8FAE-BB6EA3745E01}"/>
  <tableColumns count="8">
    <tableColumn id="9" xr3:uid="{0B6D41CF-7765-432E-BA98-4A773E170A9F}" name="産業大分類" totalsRowLabel="合計" totalsRowDxfId="41"/>
    <tableColumn id="10" xr3:uid="{748896BF-8FF2-48D1-A703-14630839F18C}" name="総数／事業所数" totalsRowFunction="custom" totalsRowDxfId="40" dataCellStyle="桁区切り" totalsRowCellStyle="桁区切り">
      <totalsRowFormula>SUM(LTBL_28501[総数／事業所数])</totalsRowFormula>
    </tableColumn>
    <tableColumn id="11" xr3:uid="{D2FE14B1-7DE8-4334-8959-E153445A7B3C}" name="総数／構成比" dataDxfId="39"/>
    <tableColumn id="12" xr3:uid="{094002F8-DB14-4E49-B9F2-C04DBBF55401}" name="個人／事業所数" totalsRowFunction="sum" totalsRowDxfId="38" dataCellStyle="桁区切り" totalsRowCellStyle="桁区切り"/>
    <tableColumn id="13" xr3:uid="{83FC8F0E-5A42-400E-9676-628648CEBDB4}" name="個人／構成比" dataDxfId="37"/>
    <tableColumn id="14" xr3:uid="{30756F64-CF25-4F83-98CD-FA2C04714437}" name="法人／事業所数" totalsRowFunction="sum" totalsRowDxfId="36" dataCellStyle="桁区切り" totalsRowCellStyle="桁区切り"/>
    <tableColumn id="15" xr3:uid="{1D41282C-CCE3-4386-A77D-F977E76581DE}" name="法人／構成比" dataDxfId="35"/>
    <tableColumn id="16" xr3:uid="{E412B812-1B7C-4CEB-BC1C-4582CF05FF9A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5BE5E45D-2C9D-4D78-86C4-38493F717E0A}" name="M_TABLE_28501" displayName="M_TABLE_28501" ref="B23:I44" totalsRowShown="0">
  <autoFilter ref="B23:I44" xr:uid="{5BE5E45D-2C9D-4D78-86C4-38493F717E0A}"/>
  <tableColumns count="8">
    <tableColumn id="9" xr3:uid="{D8FB6F1A-FA17-4718-A0C6-7CE63DEFC559}" name="産業中分類上位２０"/>
    <tableColumn id="10" xr3:uid="{9BCC127D-4E89-411A-8BE2-F234CC79F2AD}" name="総数／事業所数" dataCellStyle="桁区切り"/>
    <tableColumn id="11" xr3:uid="{44E2231C-1217-4028-A46E-E9D1A9EFBC4E}" name="総数／構成比" dataDxfId="33"/>
    <tableColumn id="12" xr3:uid="{A5AC7FAC-DA3D-457C-B7DC-306A63BEF132}" name="個人／事業所数" dataCellStyle="桁区切り"/>
    <tableColumn id="13" xr3:uid="{6C53EE1D-A433-44D7-AEE7-C572087E496C}" name="個人／構成比" dataDxfId="32"/>
    <tableColumn id="14" xr3:uid="{C085A7D3-9EFE-435E-9640-FC163AC731E5}" name="法人／事業所数" dataCellStyle="桁区切り"/>
    <tableColumn id="15" xr3:uid="{27BE9632-EFF8-48FC-A8F5-359F40C4371E}" name="法人／構成比" dataDxfId="31"/>
    <tableColumn id="16" xr3:uid="{C1654607-3142-4BED-B2CE-5DE636A21106}" name="法人以外の団体／事業所数" dataCellStyle="桁区切り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F2456F41-158B-482E-A7FF-40A40BBECB45}" name="S_TABLE_28501" displayName="S_TABLE_28501" ref="B47:I68" totalsRowShown="0">
  <autoFilter ref="B47:I68" xr:uid="{F2456F41-158B-482E-A7FF-40A40BBECB45}"/>
  <tableColumns count="8">
    <tableColumn id="9" xr3:uid="{9F01B8F9-B84A-457F-A668-4A9DAEE0B1AD}" name="産業小分類上位２０"/>
    <tableColumn id="10" xr3:uid="{BE270518-EFB2-49FF-8B8F-4F86DECFCDA3}" name="総数／事業所数" dataCellStyle="桁区切り"/>
    <tableColumn id="11" xr3:uid="{4FB5D7ED-4AD2-44C9-9D50-B112E10BB9DA}" name="総数／構成比" dataDxfId="30"/>
    <tableColumn id="12" xr3:uid="{0216F544-E941-4407-82AA-FD23A8469547}" name="個人／事業所数" dataCellStyle="桁区切り"/>
    <tableColumn id="13" xr3:uid="{C3E85176-EE17-4E39-B571-24173C5D06E8}" name="個人／構成比" dataDxfId="29"/>
    <tableColumn id="14" xr3:uid="{6B333030-0438-4AB1-B2BC-D0F84B34134C}" name="法人／事業所数" dataCellStyle="桁区切り"/>
    <tableColumn id="15" xr3:uid="{F64C411D-978A-4655-A199-D7EB1B196BB1}" name="法人／構成比" dataDxfId="28"/>
    <tableColumn id="16" xr3:uid="{EBEC18A7-5184-49FB-9B73-939E9706F38B}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CF78EDC6-B70E-4377-B070-A003154961EC}" name="LTBL_28585" displayName="LTBL_28585" ref="B4:I20" totalsRowCount="1">
  <autoFilter ref="B4:I19" xr:uid="{CF78EDC6-B70E-4377-B070-A003154961EC}"/>
  <tableColumns count="8">
    <tableColumn id="9" xr3:uid="{F2811D7A-1DDD-4EEA-87F9-E58DB299FF05}" name="産業大分類" totalsRowLabel="合計" totalsRowDxfId="27"/>
    <tableColumn id="10" xr3:uid="{58834843-63FD-4A9D-9B46-F38BCF261250}" name="総数／事業所数" totalsRowFunction="custom" totalsRowDxfId="26" dataCellStyle="桁区切り" totalsRowCellStyle="桁区切り">
      <totalsRowFormula>SUM(LTBL_28585[総数／事業所数])</totalsRowFormula>
    </tableColumn>
    <tableColumn id="11" xr3:uid="{87688E15-2B8D-4187-A8D9-E62F438CB1EF}" name="総数／構成比" dataDxfId="25"/>
    <tableColumn id="12" xr3:uid="{C8AF802F-B0DB-4B44-858A-4ACB54249A1A}" name="個人／事業所数" totalsRowFunction="sum" totalsRowDxfId="24" dataCellStyle="桁区切り" totalsRowCellStyle="桁区切り"/>
    <tableColumn id="13" xr3:uid="{62E0E268-C9D2-46B1-85A3-3234E46ACF48}" name="個人／構成比" dataDxfId="23"/>
    <tableColumn id="14" xr3:uid="{7FBFA4EF-4F66-4730-97D2-14BC614C3064}" name="法人／事業所数" totalsRowFunction="sum" totalsRowDxfId="22" dataCellStyle="桁区切り" totalsRowCellStyle="桁区切り"/>
    <tableColumn id="15" xr3:uid="{BFF4145F-F684-4D41-9A4B-A036E3498B28}" name="法人／構成比" dataDxfId="21"/>
    <tableColumn id="16" xr3:uid="{9969417A-CCA0-4EF8-9488-334080DD53D2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FF68936C-B495-4022-88F1-9E41D7035836}" name="M_TABLE_28585" displayName="M_TABLE_28585" ref="B23:I43" totalsRowShown="0">
  <autoFilter ref="B23:I43" xr:uid="{FF68936C-B495-4022-88F1-9E41D7035836}"/>
  <tableColumns count="8">
    <tableColumn id="9" xr3:uid="{8AF9006D-A56D-4B82-B7F8-54626E98166A}" name="産業中分類上位２０"/>
    <tableColumn id="10" xr3:uid="{C0651D9E-0CB1-4305-9622-9FDEA71589CD}" name="総数／事業所数" dataCellStyle="桁区切り"/>
    <tableColumn id="11" xr3:uid="{2420B17B-3B2A-4F60-BAB2-88760F34510A}" name="総数／構成比" dataDxfId="19"/>
    <tableColumn id="12" xr3:uid="{DE5EF6C2-8CDD-40FC-9EF6-FF32EE9D9555}" name="個人／事業所数" dataCellStyle="桁区切り"/>
    <tableColumn id="13" xr3:uid="{17992BC4-7FD0-4F17-B030-710625BEC30E}" name="個人／構成比" dataDxfId="18"/>
    <tableColumn id="14" xr3:uid="{C01D72FF-E4E2-447C-8DDB-EF49C8B76253}" name="法人／事業所数" dataCellStyle="桁区切り"/>
    <tableColumn id="15" xr3:uid="{FEC352C6-C1F0-44E8-883C-1A9BE2B4FB92}" name="法人／構成比" dataDxfId="17"/>
    <tableColumn id="16" xr3:uid="{82443864-9356-4FB4-A12D-5F8C3B127BC9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E1DFA82-F802-42B9-9F2A-986034B3ECB8}" name="S_TABLE_28105" displayName="S_TABLE_28105" ref="B47:I69" totalsRowShown="0">
  <autoFilter ref="B47:I69" xr:uid="{3E1DFA82-F802-42B9-9F2A-986034B3ECB8}"/>
  <tableColumns count="8">
    <tableColumn id="9" xr3:uid="{8C2B72D0-7413-46CF-9CFB-BA922C8F74C0}" name="産業小分類上位２０"/>
    <tableColumn id="10" xr3:uid="{909F2397-EBE8-4902-B6EB-E1DC46850AF5}" name="総数／事業所数" dataCellStyle="桁区切り"/>
    <tableColumn id="11" xr3:uid="{3D444BB3-4D23-4C26-8272-2DE37BBF1BD2}" name="総数／構成比" dataDxfId="646"/>
    <tableColumn id="12" xr3:uid="{3AF1D45E-E423-4BA4-A87B-726412952FA2}" name="個人／事業所数" dataCellStyle="桁区切り"/>
    <tableColumn id="13" xr3:uid="{3B7BD353-E0E4-46FC-87C7-0BBF693D1275}" name="個人／構成比" dataDxfId="645"/>
    <tableColumn id="14" xr3:uid="{5B328675-BD38-48FD-B0C1-D8DD2AA08F7B}" name="法人／事業所数" dataCellStyle="桁区切り"/>
    <tableColumn id="15" xr3:uid="{A28DFE9F-DBA7-4D5F-A099-3169C95353C9}" name="法人／構成比" dataDxfId="644"/>
    <tableColumn id="16" xr3:uid="{EFFFE67B-2BE0-4D0D-8A8E-4E75338BF165}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4B006A0C-AFA7-494C-A520-08D3A5356CEE}" name="S_TABLE_28585" displayName="S_TABLE_28585" ref="B46:I68" totalsRowShown="0">
  <autoFilter ref="B46:I68" xr:uid="{4B006A0C-AFA7-494C-A520-08D3A5356CEE}"/>
  <tableColumns count="8">
    <tableColumn id="9" xr3:uid="{CC156C8B-6545-4BB3-BF0F-9CC85B54B955}" name="産業小分類上位２０"/>
    <tableColumn id="10" xr3:uid="{CCF07513-0FEF-48C3-8939-7DDC882E7385}" name="総数／事業所数" dataCellStyle="桁区切り"/>
    <tableColumn id="11" xr3:uid="{86B9E8EF-75A3-40C1-A5B5-7454F455DB5D}" name="総数／構成比" dataDxfId="16"/>
    <tableColumn id="12" xr3:uid="{1029F83E-EE9C-43B3-83D4-90500B228724}" name="個人／事業所数" dataCellStyle="桁区切り"/>
    <tableColumn id="13" xr3:uid="{7176395D-BA27-4EE1-88DD-10C0803F59E9}" name="個人／構成比" dataDxfId="15"/>
    <tableColumn id="14" xr3:uid="{E332F5A1-BF4A-4310-A7EF-F202F0A218D5}" name="法人／事業所数" dataCellStyle="桁区切り"/>
    <tableColumn id="15" xr3:uid="{841AB3EE-9022-47C0-9FA5-E0B12F3D09CD}" name="法人／構成比" dataDxfId="14"/>
    <tableColumn id="16" xr3:uid="{29A2F2ED-6FF4-4B4B-ACBD-B4F3D410B9D6}" name="法人以外の団体／事業所数" dataCellStyle="桁区切り"/>
  </tableColumns>
  <tableStyleInfo name="TableStyleMedium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7A975338-D799-4021-9663-D2DFCCAA5F8A}" name="LTBL_28586" displayName="LTBL_28586" ref="B4:I20" totalsRowCount="1">
  <autoFilter ref="B4:I19" xr:uid="{7A975338-D799-4021-9663-D2DFCCAA5F8A}"/>
  <tableColumns count="8">
    <tableColumn id="9" xr3:uid="{C3780DEE-DDE3-4CDC-97A5-3DC31A283506}" name="産業大分類" totalsRowLabel="合計" totalsRowDxfId="13"/>
    <tableColumn id="10" xr3:uid="{41BCD079-D74A-4ED2-AA9B-1DF1F936E1F2}" name="総数／事業所数" totalsRowFunction="custom" totalsRowDxfId="12" dataCellStyle="桁区切り" totalsRowCellStyle="桁区切り">
      <totalsRowFormula>SUM(LTBL_28586[総数／事業所数])</totalsRowFormula>
    </tableColumn>
    <tableColumn id="11" xr3:uid="{BE127D42-1BF6-4926-8354-0122F1A9310B}" name="総数／構成比" dataDxfId="11"/>
    <tableColumn id="12" xr3:uid="{E8630FD3-C86E-46F5-BD14-6940D1DFFA92}" name="個人／事業所数" totalsRowFunction="sum" totalsRowDxfId="10" dataCellStyle="桁区切り" totalsRowCellStyle="桁区切り"/>
    <tableColumn id="13" xr3:uid="{D25390B8-6E9C-460B-93BF-E82E343BAD44}" name="個人／構成比" dataDxfId="9"/>
    <tableColumn id="14" xr3:uid="{E7635692-F149-4801-9F2C-F8D397A4D475}" name="法人／事業所数" totalsRowFunction="sum" totalsRowDxfId="8" dataCellStyle="桁区切り" totalsRowCellStyle="桁区切り"/>
    <tableColumn id="15" xr3:uid="{6E01048D-57EF-4C75-87FB-E420C200CD19}" name="法人／構成比" dataDxfId="7"/>
    <tableColumn id="16" xr3:uid="{F0A65D58-83FD-4CE8-8523-E96A76EB9168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9A28878E-6AA7-4103-AC7C-8411EA3E28A3}" name="M_TABLE_28586" displayName="M_TABLE_28586" ref="B23:I44" totalsRowShown="0">
  <autoFilter ref="B23:I44" xr:uid="{9A28878E-6AA7-4103-AC7C-8411EA3E28A3}"/>
  <tableColumns count="8">
    <tableColumn id="9" xr3:uid="{9BD5C92B-F26C-4102-B67A-C03513D6E24A}" name="産業中分類上位２０"/>
    <tableColumn id="10" xr3:uid="{061C4EEF-7B3A-4B4E-8F86-DBB1A7793ED2}" name="総数／事業所数" dataCellStyle="桁区切り"/>
    <tableColumn id="11" xr3:uid="{7B8A7A7F-D788-4844-8260-7FE3E0D9CEDF}" name="総数／構成比" dataDxfId="5"/>
    <tableColumn id="12" xr3:uid="{480A6AE4-B320-42F0-938A-F4134656CA4E}" name="個人／事業所数" dataCellStyle="桁区切り"/>
    <tableColumn id="13" xr3:uid="{B399E0D4-9E0E-4B8E-9315-DB5E5F36091B}" name="個人／構成比" dataDxfId="4"/>
    <tableColumn id="14" xr3:uid="{C11D8FD1-AF2B-40AA-8E9F-7146618FB57E}" name="法人／事業所数" dataCellStyle="桁区切り"/>
    <tableColumn id="15" xr3:uid="{C4F83930-2523-480F-ADE2-4EF794E3EE65}" name="法人／構成比" dataDxfId="3"/>
    <tableColumn id="16" xr3:uid="{14E1236F-B2CF-4DD6-8736-332A9E0B26F3}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B8561CE3-39C7-4EDD-AC61-7E6F75982D61}" name="S_TABLE_28586" displayName="S_TABLE_28586" ref="B47:I70" totalsRowShown="0">
  <autoFilter ref="B47:I70" xr:uid="{B8561CE3-39C7-4EDD-AC61-7E6F75982D61}"/>
  <tableColumns count="8">
    <tableColumn id="9" xr3:uid="{55159608-10FB-43C9-86D1-7F339F083BD8}" name="産業小分類上位２０"/>
    <tableColumn id="10" xr3:uid="{5406DE2E-3F74-49EF-8C15-B1B492C5A92A}" name="総数／事業所数" dataCellStyle="桁区切り"/>
    <tableColumn id="11" xr3:uid="{DF67FD67-4436-40A7-9892-87EF79656B0C}" name="総数／構成比" dataDxfId="2"/>
    <tableColumn id="12" xr3:uid="{6551E0FB-BEF6-4846-B9DB-6D710F5F2A28}" name="個人／事業所数" dataCellStyle="桁区切り"/>
    <tableColumn id="13" xr3:uid="{D00C9C1E-1EC7-4D90-A8A6-3307749D761A}" name="個人／構成比" dataDxfId="1"/>
    <tableColumn id="14" xr3:uid="{9A05FDE9-760D-4E19-B86A-252369C210BC}" name="法人／事業所数" dataCellStyle="桁区切り"/>
    <tableColumn id="15" xr3:uid="{7CD31306-5739-4111-A065-709F11B440B7}" name="法人／構成比" dataDxfId="0"/>
    <tableColumn id="16" xr3:uid="{AD820328-0A44-4B5C-AEB9-CAD80D6F2022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B5E89F8-E49F-464B-AA0F-CC17CA4ADA80}" name="LTBL_28106" displayName="LTBL_28106" ref="B4:I20" totalsRowCount="1">
  <autoFilter ref="B4:I19" xr:uid="{0B5E89F8-E49F-464B-AA0F-CC17CA4ADA80}"/>
  <tableColumns count="8">
    <tableColumn id="9" xr3:uid="{EA67DD69-B87B-4008-A4FF-F8671EF8A337}" name="産業大分類" totalsRowLabel="合計" totalsRowDxfId="643"/>
    <tableColumn id="10" xr3:uid="{BEC2B5F2-2182-4CE7-9151-0CA881E3063A}" name="総数／事業所数" totalsRowFunction="custom" totalsRowDxfId="642" dataCellStyle="桁区切り" totalsRowCellStyle="桁区切り">
      <totalsRowFormula>SUM(LTBL_28106[総数／事業所数])</totalsRowFormula>
    </tableColumn>
    <tableColumn id="11" xr3:uid="{AF18A3CF-B2A3-4333-8ED8-8AE72D621A83}" name="総数／構成比" dataDxfId="641"/>
    <tableColumn id="12" xr3:uid="{4B7CF0CB-CBB3-491D-9061-D68D81FC606F}" name="個人／事業所数" totalsRowFunction="sum" totalsRowDxfId="640" dataCellStyle="桁区切り" totalsRowCellStyle="桁区切り"/>
    <tableColumn id="13" xr3:uid="{D28AB265-47C7-4749-A39C-D4670D7642E5}" name="個人／構成比" dataDxfId="639"/>
    <tableColumn id="14" xr3:uid="{899AA07D-31CF-41DB-A926-20EB8807C8B9}" name="法人／事業所数" totalsRowFunction="sum" totalsRowDxfId="638" dataCellStyle="桁区切り" totalsRowCellStyle="桁区切り"/>
    <tableColumn id="15" xr3:uid="{8ECA28CB-1FA6-42BB-8DEC-8C6DA643ECB3}" name="法人／構成比" dataDxfId="637"/>
    <tableColumn id="16" xr3:uid="{5F9BEBF1-F48E-4D62-AB09-EA4DA064A41A}" name="法人以外の団体／事業所数" totalsRowFunction="sum" totalsRowDxfId="636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BE457BB-AA2F-45AC-95CD-9313E28AFAD8}" name="M_TABLE_28106" displayName="M_TABLE_28106" ref="B23:I43" totalsRowShown="0">
  <autoFilter ref="B23:I43" xr:uid="{FBE457BB-AA2F-45AC-95CD-9313E28AFAD8}"/>
  <tableColumns count="8">
    <tableColumn id="9" xr3:uid="{680F29F1-7643-4D73-9F83-4CA730305256}" name="産業中分類上位２０"/>
    <tableColumn id="10" xr3:uid="{F238CCDF-AE4A-4C88-969D-EE954C0B5993}" name="総数／事業所数" dataCellStyle="桁区切り"/>
    <tableColumn id="11" xr3:uid="{C4744325-A382-4382-B4D9-841116EE26F6}" name="総数／構成比" dataDxfId="635"/>
    <tableColumn id="12" xr3:uid="{85B924F3-0E24-4013-98A6-49604638895E}" name="個人／事業所数" dataCellStyle="桁区切り"/>
    <tableColumn id="13" xr3:uid="{48FC70D6-9B17-40E6-97EA-0D7AEA47498B}" name="個人／構成比" dataDxfId="634"/>
    <tableColumn id="14" xr3:uid="{183298BA-48C9-4AE3-AB96-388D25D89F45}" name="法人／事業所数" dataCellStyle="桁区切り"/>
    <tableColumn id="15" xr3:uid="{29C8D94C-5501-401D-AE2B-1E45B2AF5A6D}" name="法人／構成比" dataDxfId="633"/>
    <tableColumn id="16" xr3:uid="{62927FDE-C3B5-459C-AD4B-0818C02092FB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88A6970-DC43-4FC9-ABF0-350E6D43BA50}" name="S_TABLE_28106" displayName="S_TABLE_28106" ref="B46:I67" totalsRowShown="0">
  <autoFilter ref="B46:I67" xr:uid="{188A6970-DC43-4FC9-ABF0-350E6D43BA50}"/>
  <tableColumns count="8">
    <tableColumn id="9" xr3:uid="{271736A1-B8DF-4990-B0D7-962152B564E0}" name="産業小分類上位２０"/>
    <tableColumn id="10" xr3:uid="{80557EA7-07A4-4F59-85B3-7DC1A703A692}" name="総数／事業所数" dataCellStyle="桁区切り"/>
    <tableColumn id="11" xr3:uid="{BC627E0A-BD7A-442E-922D-132A5D222C7F}" name="総数／構成比" dataDxfId="632"/>
    <tableColumn id="12" xr3:uid="{D665F6CD-5DCA-41DE-AECF-8D71E501A1DA}" name="個人／事業所数" dataCellStyle="桁区切り"/>
    <tableColumn id="13" xr3:uid="{78B22516-67F5-4DEE-9FF0-3E8429ACFE9F}" name="個人／構成比" dataDxfId="631"/>
    <tableColumn id="14" xr3:uid="{87FE97F0-0523-492E-B6EC-E7DFAB0F2445}" name="法人／事業所数" dataCellStyle="桁区切り"/>
    <tableColumn id="15" xr3:uid="{3ACC647D-42DC-4E5F-9EB0-1B629F2AD450}" name="法人／構成比" dataDxfId="630"/>
    <tableColumn id="16" xr3:uid="{BEEEB1D2-F5A3-4455-858C-507F70810DBC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395D243-5CC6-4ABC-8CE7-5D5DF8AD394A}" name="LTBL_28107" displayName="LTBL_28107" ref="B4:I20" totalsRowCount="1">
  <autoFilter ref="B4:I19" xr:uid="{8395D243-5CC6-4ABC-8CE7-5D5DF8AD394A}"/>
  <tableColumns count="8">
    <tableColumn id="9" xr3:uid="{0847AF61-6155-48FE-8A94-E8ADE6BFB27E}" name="産業大分類" totalsRowLabel="合計" totalsRowDxfId="629"/>
    <tableColumn id="10" xr3:uid="{052ACE1F-88F6-414A-A633-E86E30F2312E}" name="総数／事業所数" totalsRowFunction="custom" totalsRowDxfId="628" dataCellStyle="桁区切り" totalsRowCellStyle="桁区切り">
      <totalsRowFormula>SUM(LTBL_28107[総数／事業所数])</totalsRowFormula>
    </tableColumn>
    <tableColumn id="11" xr3:uid="{1135723C-B55E-4F99-9CD7-6A35A2CA866D}" name="総数／構成比" dataDxfId="627"/>
    <tableColumn id="12" xr3:uid="{BF592964-5581-4CA2-A02D-2E7481DC902E}" name="個人／事業所数" totalsRowFunction="sum" totalsRowDxfId="626" dataCellStyle="桁区切り" totalsRowCellStyle="桁区切り"/>
    <tableColumn id="13" xr3:uid="{96CD436A-824F-46C4-8EB8-A75967D2A1F7}" name="個人／構成比" dataDxfId="625"/>
    <tableColumn id="14" xr3:uid="{7B55ECAE-6AE8-41A0-9AE3-C492CD664A71}" name="法人／事業所数" totalsRowFunction="sum" totalsRowDxfId="624" dataCellStyle="桁区切り" totalsRowCellStyle="桁区切り"/>
    <tableColumn id="15" xr3:uid="{2DCF6C7A-033E-4F17-8343-67BE1C881315}" name="法人／構成比" dataDxfId="623"/>
    <tableColumn id="16" xr3:uid="{ED5E1D25-AB43-429F-95DB-639E998CBE6B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93011C-25BC-483F-A3A8-07D51701ABEC}" name="M_TABLE_28000" displayName="M_TABLE_28000" ref="B23:I43" totalsRowShown="0">
  <autoFilter ref="B23:I43" xr:uid="{1E93011C-25BC-483F-A3A8-07D51701ABEC}"/>
  <tableColumns count="8">
    <tableColumn id="9" xr3:uid="{96BC4FD8-11DC-4EED-AEA7-C1AACBF0F925}" name="産業中分類上位２０"/>
    <tableColumn id="10" xr3:uid="{BF9F4520-0A60-49C1-98FE-BDACD96EE0EA}" name="総数／事業所数" dataCellStyle="桁区切り"/>
    <tableColumn id="11" xr3:uid="{58EB64B6-0D5B-41FE-9FCF-BAED56B01317}" name="総数／構成比" dataDxfId="705"/>
    <tableColumn id="12" xr3:uid="{9BE37CBF-5934-4ED9-9542-BE57F053CF49}" name="個人／事業所数" dataCellStyle="桁区切り"/>
    <tableColumn id="13" xr3:uid="{699E2935-D651-4892-ACAB-DFEFEFBACCB0}" name="個人／構成比" dataDxfId="704"/>
    <tableColumn id="14" xr3:uid="{8D447CDA-EC24-4F86-91B2-BBF13A957BDE}" name="法人／事業所数" dataCellStyle="桁区切り"/>
    <tableColumn id="15" xr3:uid="{A5DFCD19-F9B7-4822-BD34-493206073910}" name="法人／構成比" dataDxfId="703"/>
    <tableColumn id="16" xr3:uid="{D9A0B8BF-3780-4E88-AFCD-0E22BD5E833A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9131B33-8919-48DD-9EBA-FA41A36123E7}" name="M_TABLE_28107" displayName="M_TABLE_28107" ref="B23:I43" totalsRowShown="0">
  <autoFilter ref="B23:I43" xr:uid="{F9131B33-8919-48DD-9EBA-FA41A36123E7}"/>
  <tableColumns count="8">
    <tableColumn id="9" xr3:uid="{7C2B9A2F-504B-4E47-BAC6-FC00A337A4B8}" name="産業中分類上位２０"/>
    <tableColumn id="10" xr3:uid="{B55B5C06-2196-485A-8726-FDDA3853FBD9}" name="総数／事業所数" dataCellStyle="桁区切り"/>
    <tableColumn id="11" xr3:uid="{F8DD0B0E-AF90-4000-BB37-59D3219EA1F7}" name="総数／構成比" dataDxfId="621"/>
    <tableColumn id="12" xr3:uid="{33AE9D26-96E0-4DDA-BF1C-D4ABB908E3EE}" name="個人／事業所数" dataCellStyle="桁区切り"/>
    <tableColumn id="13" xr3:uid="{227D7B20-E853-459E-8A67-5ED6B2E7E060}" name="個人／構成比" dataDxfId="620"/>
    <tableColumn id="14" xr3:uid="{E12872CF-A773-4DC9-904E-E2B64E0971FC}" name="法人／事業所数" dataCellStyle="桁区切り"/>
    <tableColumn id="15" xr3:uid="{627FABB8-7851-44D8-8EE9-84C5BA949324}" name="法人／構成比" dataDxfId="619"/>
    <tableColumn id="16" xr3:uid="{D19C912A-EC4B-4C63-9B61-A1CD17B82C76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6B64B5E-C3AD-4228-993D-0DBDEEB202D5}" name="S_TABLE_28107" displayName="S_TABLE_28107" ref="B46:I66" totalsRowShown="0">
  <autoFilter ref="B46:I66" xr:uid="{26B64B5E-C3AD-4228-993D-0DBDEEB202D5}"/>
  <tableColumns count="8">
    <tableColumn id="9" xr3:uid="{CB2ED2E8-7D67-4C5C-8E37-BD3D27A47A29}" name="産業小分類上位２０"/>
    <tableColumn id="10" xr3:uid="{4D1C8EF2-3350-4E5B-9A68-A1516E92CE82}" name="総数／事業所数" dataCellStyle="桁区切り"/>
    <tableColumn id="11" xr3:uid="{A8B863CC-AD1C-4D60-9B9D-C098074D5670}" name="総数／構成比" dataDxfId="618"/>
    <tableColumn id="12" xr3:uid="{07B2E93F-A389-49A9-9C80-7F419C27AA88}" name="個人／事業所数" dataCellStyle="桁区切り"/>
    <tableColumn id="13" xr3:uid="{A77C4997-6390-4652-9457-869599ADC061}" name="個人／構成比" dataDxfId="617"/>
    <tableColumn id="14" xr3:uid="{0D8F5BCB-BC7E-4BF7-8D5F-DB5B867D92CB}" name="法人／事業所数" dataCellStyle="桁区切り"/>
    <tableColumn id="15" xr3:uid="{E9E37ABE-179E-4501-8A28-D06F80763EC6}" name="法人／構成比" dataDxfId="616"/>
    <tableColumn id="16" xr3:uid="{F2D9AD33-3ED5-44FF-A489-C8ACD75B1554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4F3B402-04E7-40A7-B6FA-8BD1D004F978}" name="LTBL_28108" displayName="LTBL_28108" ref="B4:I20" totalsRowCount="1">
  <autoFilter ref="B4:I19" xr:uid="{E4F3B402-04E7-40A7-B6FA-8BD1D004F978}"/>
  <tableColumns count="8">
    <tableColumn id="9" xr3:uid="{957E01DD-6140-4A6A-9279-271316F119E2}" name="産業大分類" totalsRowLabel="合計" totalsRowDxfId="615"/>
    <tableColumn id="10" xr3:uid="{F18D277F-CE5F-4EBC-8B08-FC0E0C151499}" name="総数／事業所数" totalsRowFunction="custom" totalsRowDxfId="614" dataCellStyle="桁区切り" totalsRowCellStyle="桁区切り">
      <totalsRowFormula>SUM(LTBL_28108[総数／事業所数])</totalsRowFormula>
    </tableColumn>
    <tableColumn id="11" xr3:uid="{B47BD5D8-0C72-4612-B38B-4B0EC06C3D22}" name="総数／構成比" dataDxfId="613"/>
    <tableColumn id="12" xr3:uid="{9C0E5CF2-7EA7-4CBC-8EA0-6F893CFF7FF7}" name="個人／事業所数" totalsRowFunction="sum" totalsRowDxfId="612" dataCellStyle="桁区切り" totalsRowCellStyle="桁区切り"/>
    <tableColumn id="13" xr3:uid="{EDE5870C-685C-4A83-A065-C8126A3446C4}" name="個人／構成比" dataDxfId="611"/>
    <tableColumn id="14" xr3:uid="{FE38EAD2-329C-4CE7-A6DB-3CFCF98D2C03}" name="法人／事業所数" totalsRowFunction="sum" totalsRowDxfId="610" dataCellStyle="桁区切り" totalsRowCellStyle="桁区切り"/>
    <tableColumn id="15" xr3:uid="{4C0778BE-38FC-45D6-B73B-A2E93938E42A}" name="法人／構成比" dataDxfId="609"/>
    <tableColumn id="16" xr3:uid="{7FB1D8C4-5D6F-4D69-914A-3BFDC57FFA18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2E8A111-809B-4D00-919C-699CFB3C5F07}" name="M_TABLE_28108" displayName="M_TABLE_28108" ref="B23:I43" totalsRowShown="0">
  <autoFilter ref="B23:I43" xr:uid="{72E8A111-809B-4D00-919C-699CFB3C5F07}"/>
  <tableColumns count="8">
    <tableColumn id="9" xr3:uid="{5F4D75FC-9DD9-4579-B503-DA87268D00EA}" name="産業中分類上位２０"/>
    <tableColumn id="10" xr3:uid="{64639A73-2E9D-4557-875C-0028730A4419}" name="総数／事業所数" dataCellStyle="桁区切り"/>
    <tableColumn id="11" xr3:uid="{D9409AB5-2544-4BE1-A279-77F68DA159E2}" name="総数／構成比" dataDxfId="607"/>
    <tableColumn id="12" xr3:uid="{C9888C58-DF61-4091-ACAF-95217694FDDC}" name="個人／事業所数" dataCellStyle="桁区切り"/>
    <tableColumn id="13" xr3:uid="{848E0BEC-B5CF-4E69-B03F-F325CC062E73}" name="個人／構成比" dataDxfId="606"/>
    <tableColumn id="14" xr3:uid="{A927AFC2-2BC4-4F91-BB1A-6CD7D0D6E3AE}" name="法人／事業所数" dataCellStyle="桁区切り"/>
    <tableColumn id="15" xr3:uid="{F61CDDEE-2F9D-4060-A935-A2D2F0645034}" name="法人／構成比" dataDxfId="605"/>
    <tableColumn id="16" xr3:uid="{62E62C5E-FF0C-4D42-AB18-9139A0C1CD97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C6A034F-C772-409E-A515-9A1B7C4FAD92}" name="S_TABLE_28108" displayName="S_TABLE_28108" ref="B46:I66" totalsRowShown="0">
  <autoFilter ref="B46:I66" xr:uid="{CC6A034F-C772-409E-A515-9A1B7C4FAD92}"/>
  <tableColumns count="8">
    <tableColumn id="9" xr3:uid="{6D972B3B-2F0F-4BE3-8397-C08CFEFC629E}" name="産業小分類上位２０"/>
    <tableColumn id="10" xr3:uid="{E685E348-147C-4F7A-8CB9-4A993F82091E}" name="総数／事業所数" dataCellStyle="桁区切り"/>
    <tableColumn id="11" xr3:uid="{BE50130E-E91C-4F4F-9B00-60F20F57122A}" name="総数／構成比" dataDxfId="604"/>
    <tableColumn id="12" xr3:uid="{A7D36D9C-36FA-42D1-8656-F5BB38381195}" name="個人／事業所数" dataCellStyle="桁区切り"/>
    <tableColumn id="13" xr3:uid="{D64123EF-5A41-4F3C-AA5A-48B6FA357E54}" name="個人／構成比" dataDxfId="603"/>
    <tableColumn id="14" xr3:uid="{0B189028-6916-4E6D-A525-6D68A5F220A0}" name="法人／事業所数" dataCellStyle="桁区切り"/>
    <tableColumn id="15" xr3:uid="{ED39D762-AA5F-4792-B830-4A7E3D7D15AF}" name="法人／構成比" dataDxfId="602"/>
    <tableColumn id="16" xr3:uid="{5440FFB4-E2B8-4253-A33E-DC6CF372221F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B5410B4-389D-4612-88CA-CCF2572008CC}" name="LTBL_28109" displayName="LTBL_28109" ref="B4:I20" totalsRowCount="1">
  <autoFilter ref="B4:I19" xr:uid="{2B5410B4-389D-4612-88CA-CCF2572008CC}"/>
  <tableColumns count="8">
    <tableColumn id="9" xr3:uid="{39F6DFD0-3DAA-4660-A664-50E68D925091}" name="産業大分類" totalsRowLabel="合計" totalsRowDxfId="601"/>
    <tableColumn id="10" xr3:uid="{920034AA-235F-44D5-89A4-88650B59C32B}" name="総数／事業所数" totalsRowFunction="custom" totalsRowDxfId="600" dataCellStyle="桁区切り" totalsRowCellStyle="桁区切り">
      <totalsRowFormula>SUM(LTBL_28109[総数／事業所数])</totalsRowFormula>
    </tableColumn>
    <tableColumn id="11" xr3:uid="{CF9E226C-65D0-4D79-93AD-7599457FEF73}" name="総数／構成比" dataDxfId="599"/>
    <tableColumn id="12" xr3:uid="{D3F83156-1BF8-4E00-951B-FEAC4DF385F5}" name="個人／事業所数" totalsRowFunction="sum" totalsRowDxfId="598" dataCellStyle="桁区切り" totalsRowCellStyle="桁区切り"/>
    <tableColumn id="13" xr3:uid="{205CB821-05E1-4397-A884-B14CEA876531}" name="個人／構成比" dataDxfId="597"/>
    <tableColumn id="14" xr3:uid="{B13F4747-4320-4814-BC1D-E0930A6D4AB2}" name="法人／事業所数" totalsRowFunction="sum" totalsRowDxfId="596" dataCellStyle="桁区切り" totalsRowCellStyle="桁区切り"/>
    <tableColumn id="15" xr3:uid="{F213CDB7-3396-4ACE-BF68-CA2CAA7E3912}" name="法人／構成比" dataDxfId="595"/>
    <tableColumn id="16" xr3:uid="{90693AC2-0E53-40EA-B7FF-FB92C272A541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77B4CFF-BA3D-4A3D-9724-0FABFA28FC04}" name="M_TABLE_28109" displayName="M_TABLE_28109" ref="B23:I43" totalsRowShown="0">
  <autoFilter ref="B23:I43" xr:uid="{A77B4CFF-BA3D-4A3D-9724-0FABFA28FC04}"/>
  <tableColumns count="8">
    <tableColumn id="9" xr3:uid="{EE3A9B45-C809-4B1B-BC4F-2A2BC872CD27}" name="産業中分類上位２０"/>
    <tableColumn id="10" xr3:uid="{80ABB202-4147-4A9B-A05E-117F2B6CC2C8}" name="総数／事業所数" dataCellStyle="桁区切り"/>
    <tableColumn id="11" xr3:uid="{CA49CF64-965A-45E7-BAD2-878A748AE4D6}" name="総数／構成比" dataDxfId="593"/>
    <tableColumn id="12" xr3:uid="{71CFBBF1-0695-4244-8672-082C0512A3B1}" name="個人／事業所数" dataCellStyle="桁区切り"/>
    <tableColumn id="13" xr3:uid="{4850F7F2-B19B-4E58-956E-232316DCAC4D}" name="個人／構成比" dataDxfId="592"/>
    <tableColumn id="14" xr3:uid="{E63D0086-08CC-45F0-9707-C3C059418181}" name="法人／事業所数" dataCellStyle="桁区切り"/>
    <tableColumn id="15" xr3:uid="{2BF419B6-9245-4CE3-AE13-1074ADA436BB}" name="法人／構成比" dataDxfId="591"/>
    <tableColumn id="16" xr3:uid="{F277C771-2B84-4B04-9F34-3292BBDB4EEF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0594750-DFE7-4453-AB4F-66F72D4CF0D7}" name="S_TABLE_28109" displayName="S_TABLE_28109" ref="B46:I66" totalsRowShown="0">
  <autoFilter ref="B46:I66" xr:uid="{40594750-DFE7-4453-AB4F-66F72D4CF0D7}"/>
  <tableColumns count="8">
    <tableColumn id="9" xr3:uid="{AE868086-0AE0-40F5-9CD5-19FA12705E24}" name="産業小分類上位２０"/>
    <tableColumn id="10" xr3:uid="{6EAC7F19-68D7-4442-9279-A6FF0877A625}" name="総数／事業所数" dataCellStyle="桁区切り"/>
    <tableColumn id="11" xr3:uid="{EDED0291-65C1-45DA-8607-297DD0D7FA25}" name="総数／構成比" dataDxfId="590"/>
    <tableColumn id="12" xr3:uid="{FCBDB3A8-D2FD-40D7-BEC5-81B526643C36}" name="個人／事業所数" dataCellStyle="桁区切り"/>
    <tableColumn id="13" xr3:uid="{6F22F643-122C-48A9-9D20-9F30DCDC557D}" name="個人／構成比" dataDxfId="589"/>
    <tableColumn id="14" xr3:uid="{19B2054C-FF0D-4B0D-91D8-055AF82CAC44}" name="法人／事業所数" dataCellStyle="桁区切り"/>
    <tableColumn id="15" xr3:uid="{A147C9B0-F7CD-4C46-85F9-10DBC6FDC6FF}" name="法人／構成比" dataDxfId="588"/>
    <tableColumn id="16" xr3:uid="{1BA9A0E1-360F-47AE-B684-31B5131C8D98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6DA53D9-5FE5-48A8-90EC-893858B6E0EF}" name="LTBL_28110" displayName="LTBL_28110" ref="B4:I20" totalsRowCount="1">
  <autoFilter ref="B4:I19" xr:uid="{66DA53D9-5FE5-48A8-90EC-893858B6E0EF}"/>
  <tableColumns count="8">
    <tableColumn id="9" xr3:uid="{8799809C-CAA4-4037-87E8-F70D64796934}" name="産業大分類" totalsRowLabel="合計" totalsRowDxfId="587"/>
    <tableColumn id="10" xr3:uid="{85FF2323-139C-4DFC-AB16-690C7C7F9E07}" name="総数／事業所数" totalsRowFunction="custom" totalsRowDxfId="586" dataCellStyle="桁区切り" totalsRowCellStyle="桁区切り">
      <totalsRowFormula>SUM(LTBL_28110[総数／事業所数])</totalsRowFormula>
    </tableColumn>
    <tableColumn id="11" xr3:uid="{1CE166D8-5011-4A28-BAC8-CA09A3E5E4E0}" name="総数／構成比" dataDxfId="585"/>
    <tableColumn id="12" xr3:uid="{8F6530BB-674A-4841-9E73-16C1FEF9E4BB}" name="個人／事業所数" totalsRowFunction="sum" totalsRowDxfId="584" dataCellStyle="桁区切り" totalsRowCellStyle="桁区切り"/>
    <tableColumn id="13" xr3:uid="{1535AEF2-C653-43BA-A595-280D319F5BA4}" name="個人／構成比" dataDxfId="583"/>
    <tableColumn id="14" xr3:uid="{91A32DF3-51F8-4367-9D19-5E28F9DBA932}" name="法人／事業所数" totalsRowFunction="sum" totalsRowDxfId="582" dataCellStyle="桁区切り" totalsRowCellStyle="桁区切り"/>
    <tableColumn id="15" xr3:uid="{038EAB77-E319-4972-96E9-98530CB33A07}" name="法人／構成比" dataDxfId="581"/>
    <tableColumn id="16" xr3:uid="{DB4A9C76-97CB-4227-A07E-10D23DED7D76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7D35B98-035A-4A89-99FB-DD3C716CC5D8}" name="M_TABLE_28110" displayName="M_TABLE_28110" ref="B23:I44" totalsRowShown="0">
  <autoFilter ref="B23:I44" xr:uid="{87D35B98-035A-4A89-99FB-DD3C716CC5D8}"/>
  <tableColumns count="8">
    <tableColumn id="9" xr3:uid="{AB55DC6E-6FE1-4AF4-8257-89F3B2F053CB}" name="産業中分類上位２０"/>
    <tableColumn id="10" xr3:uid="{4D9CB5BC-F3CB-4163-A2C8-A5BE06924A24}" name="総数／事業所数" dataCellStyle="桁区切り"/>
    <tableColumn id="11" xr3:uid="{20738DB7-E6E2-4E40-8FE1-89F068677263}" name="総数／構成比" dataDxfId="579"/>
    <tableColumn id="12" xr3:uid="{DF03CD36-4FFE-4427-A312-952D45B29210}" name="個人／事業所数" dataCellStyle="桁区切り"/>
    <tableColumn id="13" xr3:uid="{DD201822-AAAA-45C0-85ED-123913F54B88}" name="個人／構成比" dataDxfId="578"/>
    <tableColumn id="14" xr3:uid="{13D00748-245F-4B7F-AB6B-15C0759A780C}" name="法人／事業所数" dataCellStyle="桁区切り"/>
    <tableColumn id="15" xr3:uid="{1165B716-47FE-4DA3-9AE1-B48C1E8863E4}" name="法人／構成比" dataDxfId="577"/>
    <tableColumn id="16" xr3:uid="{CE322C53-0FD8-4ECB-809A-DDFFB529D410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6FD9A6-765A-4E89-877F-574A875CEE82}" name="S_TABLE_28000" displayName="S_TABLE_28000" ref="B46:I66" totalsRowShown="0">
  <autoFilter ref="B46:I66" xr:uid="{086FD9A6-765A-4E89-877F-574A875CEE82}"/>
  <tableColumns count="8">
    <tableColumn id="9" xr3:uid="{70A79A8F-850D-4B20-9A97-8F21BD781DAC}" name="産業小分類上位２０"/>
    <tableColumn id="10" xr3:uid="{46AB2ACA-92CE-4004-B0B7-FD96F570DA30}" name="総数／事業所数" dataCellStyle="桁区切り"/>
    <tableColumn id="11" xr3:uid="{A09FF04D-8AE1-4510-8BBE-653AEB7775B1}" name="総数／構成比" dataDxfId="702"/>
    <tableColumn id="12" xr3:uid="{8CDBD495-564F-43C8-B5C2-43D862182F3C}" name="個人／事業所数" dataCellStyle="桁区切り"/>
    <tableColumn id="13" xr3:uid="{89EEDCCB-3979-45F0-8AE3-C67AE5FD27FA}" name="個人／構成比" dataDxfId="701"/>
    <tableColumn id="14" xr3:uid="{36402D2E-2589-4FA0-95C8-783BA1BE26B9}" name="法人／事業所数" dataCellStyle="桁区切り"/>
    <tableColumn id="15" xr3:uid="{F7E200AF-6352-4EE8-ABF8-EB3308089429}" name="法人／構成比" dataDxfId="700"/>
    <tableColumn id="16" xr3:uid="{94980AC6-97FF-47F9-9BF7-BD40E117BBB7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73370C1-F51A-4495-9EF0-31FD0335F98B}" name="S_TABLE_28110" displayName="S_TABLE_28110" ref="B47:I67" totalsRowShown="0">
  <autoFilter ref="B47:I67" xr:uid="{573370C1-F51A-4495-9EF0-31FD0335F98B}"/>
  <tableColumns count="8">
    <tableColumn id="9" xr3:uid="{DBECF870-BF86-46C1-A12A-5E5B96F0FF7F}" name="産業小分類上位２０"/>
    <tableColumn id="10" xr3:uid="{06D330C5-C93B-4CE3-B32B-1A5C0017B79C}" name="総数／事業所数" dataCellStyle="桁区切り"/>
    <tableColumn id="11" xr3:uid="{D66E6233-2CC2-4211-ACA3-535ED4656673}" name="総数／構成比" dataDxfId="576"/>
    <tableColumn id="12" xr3:uid="{5A5C530A-4937-4A01-A0BB-A48B1933476C}" name="個人／事業所数" dataCellStyle="桁区切り"/>
    <tableColumn id="13" xr3:uid="{513C2B08-7982-49D3-93A8-02E066A1927F}" name="個人／構成比" dataDxfId="575"/>
    <tableColumn id="14" xr3:uid="{94619B4B-989A-45E0-A384-A3979EEC434D}" name="法人／事業所数" dataCellStyle="桁区切り"/>
    <tableColumn id="15" xr3:uid="{D26AAA39-3110-4156-A794-7B2C64F33273}" name="法人／構成比" dataDxfId="574"/>
    <tableColumn id="16" xr3:uid="{5E647B68-056E-4F4D-B3C9-E1F649A8E5F9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6664EC5-FE22-4995-BE9A-26795D40A3B0}" name="LTBL_28111" displayName="LTBL_28111" ref="B4:I20" totalsRowCount="1">
  <autoFilter ref="B4:I19" xr:uid="{46664EC5-FE22-4995-BE9A-26795D40A3B0}"/>
  <tableColumns count="8">
    <tableColumn id="9" xr3:uid="{1C1A04EE-E7A6-4A1D-B91D-31D531E79A13}" name="産業大分類" totalsRowLabel="合計" totalsRowDxfId="573"/>
    <tableColumn id="10" xr3:uid="{CE5AA4A9-F978-4E34-8D60-E9027FDFDE1E}" name="総数／事業所数" totalsRowFunction="custom" totalsRowDxfId="572" dataCellStyle="桁区切り" totalsRowCellStyle="桁区切り">
      <totalsRowFormula>SUM(LTBL_28111[総数／事業所数])</totalsRowFormula>
    </tableColumn>
    <tableColumn id="11" xr3:uid="{8FE3F48B-0B7E-4E28-BCCD-4F5753BF7F33}" name="総数／構成比" dataDxfId="571"/>
    <tableColumn id="12" xr3:uid="{DD6ED916-8C34-4E2B-9CF3-A51EA4E2A8DB}" name="個人／事業所数" totalsRowFunction="sum" totalsRowDxfId="570" dataCellStyle="桁区切り" totalsRowCellStyle="桁区切り"/>
    <tableColumn id="13" xr3:uid="{01FC134A-D7B0-4AB7-9760-87D4FA3054D5}" name="個人／構成比" dataDxfId="569"/>
    <tableColumn id="14" xr3:uid="{57853409-D72B-4C09-9024-3C0C0644AC14}" name="法人／事業所数" totalsRowFunction="sum" totalsRowDxfId="568" dataCellStyle="桁区切り" totalsRowCellStyle="桁区切り"/>
    <tableColumn id="15" xr3:uid="{FC05DC23-6C8A-4ABD-821E-27A2B16D93F4}" name="法人／構成比" dataDxfId="567"/>
    <tableColumn id="16" xr3:uid="{F7D1E794-FF52-416D-AA12-3E55C33A3AE5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76B5A0E-3A43-4FA2-BF9F-DCE04EB35AE3}" name="M_TABLE_28111" displayName="M_TABLE_28111" ref="B23:I44" totalsRowShown="0">
  <autoFilter ref="B23:I44" xr:uid="{376B5A0E-3A43-4FA2-BF9F-DCE04EB35AE3}"/>
  <tableColumns count="8">
    <tableColumn id="9" xr3:uid="{A5ACF6BA-6F31-4579-9A24-411CF48C9F8F}" name="産業中分類上位２０"/>
    <tableColumn id="10" xr3:uid="{B1E37844-3E31-42AF-894F-A4C34DBEDABB}" name="総数／事業所数" dataCellStyle="桁区切り"/>
    <tableColumn id="11" xr3:uid="{DF8EEFB3-8022-4C59-8E0A-D677F02923CF}" name="総数／構成比" dataDxfId="565"/>
    <tableColumn id="12" xr3:uid="{BC012FC2-04F4-4400-81CF-F8E0510B3E8D}" name="個人／事業所数" dataCellStyle="桁区切り"/>
    <tableColumn id="13" xr3:uid="{318A635D-5B77-432A-A8CE-B19DA6C7AC10}" name="個人／構成比" dataDxfId="564"/>
    <tableColumn id="14" xr3:uid="{A0C7BA6D-9899-4F7D-BD39-FCDA6AF34749}" name="法人／事業所数" dataCellStyle="桁区切り"/>
    <tableColumn id="15" xr3:uid="{08171307-8004-4E6B-B74F-94FE4594531A}" name="法人／構成比" dataDxfId="563"/>
    <tableColumn id="16" xr3:uid="{F95F25FA-D8B3-4672-85DF-3ACD167DFC28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E63ED97-E435-47AC-86F9-EB950444F2BD}" name="S_TABLE_28111" displayName="S_TABLE_28111" ref="B47:I67" totalsRowShown="0">
  <autoFilter ref="B47:I67" xr:uid="{4E63ED97-E435-47AC-86F9-EB950444F2BD}"/>
  <tableColumns count="8">
    <tableColumn id="9" xr3:uid="{88015D11-1F04-46BE-AB96-7335197ECAF6}" name="産業小分類上位２０"/>
    <tableColumn id="10" xr3:uid="{B0DA2B25-9C70-48EB-BB5F-FEE15FE46020}" name="総数／事業所数" dataCellStyle="桁区切り"/>
    <tableColumn id="11" xr3:uid="{80FC325F-74E7-472F-90EB-F33A5CC29239}" name="総数／構成比" dataDxfId="562"/>
    <tableColumn id="12" xr3:uid="{0455A9FD-739B-4096-86DA-11853ECA81F7}" name="個人／事業所数" dataCellStyle="桁区切り"/>
    <tableColumn id="13" xr3:uid="{9902C3E9-1F27-448B-A3FF-49CB265908D0}" name="個人／構成比" dataDxfId="561"/>
    <tableColumn id="14" xr3:uid="{90A9A142-7B5D-4061-A699-7B086A5C6FDF}" name="法人／事業所数" dataCellStyle="桁区切り"/>
    <tableColumn id="15" xr3:uid="{0358C313-4DC0-4D2D-AF0C-9B4042F088EE}" name="法人／構成比" dataDxfId="560"/>
    <tableColumn id="16" xr3:uid="{49406BAA-D1B4-4056-9051-277B1BBE1277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ED896E7-3F71-4A48-B153-71272DCBD5D5}" name="LTBL_28201" displayName="LTBL_28201" ref="B4:I20" totalsRowCount="1">
  <autoFilter ref="B4:I19" xr:uid="{CED896E7-3F71-4A48-B153-71272DCBD5D5}"/>
  <tableColumns count="8">
    <tableColumn id="9" xr3:uid="{3A57F852-C81F-47D2-B31F-083CB253C86C}" name="産業大分類" totalsRowLabel="合計" totalsRowDxfId="559"/>
    <tableColumn id="10" xr3:uid="{CE11E339-A325-404A-97AF-E0E3FF5B18B8}" name="総数／事業所数" totalsRowFunction="custom" totalsRowDxfId="558" dataCellStyle="桁区切り" totalsRowCellStyle="桁区切り">
      <totalsRowFormula>SUM(LTBL_28201[総数／事業所数])</totalsRowFormula>
    </tableColumn>
    <tableColumn id="11" xr3:uid="{3FE52A05-7D8D-4598-B73C-D2E0B8FF572B}" name="総数／構成比" dataDxfId="557"/>
    <tableColumn id="12" xr3:uid="{493CE763-9272-45B9-AC5C-CC2278484BD7}" name="個人／事業所数" totalsRowFunction="sum" totalsRowDxfId="556" dataCellStyle="桁区切り" totalsRowCellStyle="桁区切り"/>
    <tableColumn id="13" xr3:uid="{B3AFA200-3091-4245-A84F-5B94C5BE7967}" name="個人／構成比" dataDxfId="555"/>
    <tableColumn id="14" xr3:uid="{05F98718-AF90-4243-9C4F-22FEB1696FEF}" name="法人／事業所数" totalsRowFunction="sum" totalsRowDxfId="554" dataCellStyle="桁区切り" totalsRowCellStyle="桁区切り"/>
    <tableColumn id="15" xr3:uid="{DD542153-6DCA-41CE-A004-5B2C05BBEE47}" name="法人／構成比" dataDxfId="553"/>
    <tableColumn id="16" xr3:uid="{025B0308-E1F2-442B-9ACC-6F02B8384157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D49E244-48E9-495A-A0F7-EBA220A5779F}" name="M_TABLE_28201" displayName="M_TABLE_28201" ref="B23:I43" totalsRowShown="0">
  <autoFilter ref="B23:I43" xr:uid="{BD49E244-48E9-495A-A0F7-EBA220A5779F}"/>
  <tableColumns count="8">
    <tableColumn id="9" xr3:uid="{D656F6D4-1506-4A8D-AD4E-99DBD9CCEBEF}" name="産業中分類上位２０"/>
    <tableColumn id="10" xr3:uid="{B2BE88A8-1D00-4339-8670-7CBC6853AE14}" name="総数／事業所数" dataCellStyle="桁区切り"/>
    <tableColumn id="11" xr3:uid="{59A38A41-EA72-4D68-85A7-D6028EBC3780}" name="総数／構成比" dataDxfId="551"/>
    <tableColumn id="12" xr3:uid="{703F5090-8CB7-4558-8C59-6D5843290AFF}" name="個人／事業所数" dataCellStyle="桁区切り"/>
    <tableColumn id="13" xr3:uid="{F7A44786-6AD0-427E-8AA3-85A8900EA5B7}" name="個人／構成比" dataDxfId="550"/>
    <tableColumn id="14" xr3:uid="{569C2F0F-2E38-43E4-84BB-FE07B3D0CA58}" name="法人／事業所数" dataCellStyle="桁区切り"/>
    <tableColumn id="15" xr3:uid="{424B6611-CE28-4C3D-A726-8CB29BD82082}" name="法人／構成比" dataDxfId="549"/>
    <tableColumn id="16" xr3:uid="{DCE33924-9F44-4D2E-A599-377362C22C58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1327B37-AE82-4012-BE56-3D23DF5656BA}" name="S_TABLE_28201" displayName="S_TABLE_28201" ref="B46:I66" totalsRowShown="0">
  <autoFilter ref="B46:I66" xr:uid="{F1327B37-AE82-4012-BE56-3D23DF5656BA}"/>
  <tableColumns count="8">
    <tableColumn id="9" xr3:uid="{31A3AD8D-AA26-4A17-911F-AD8FF5A8FD45}" name="産業小分類上位２０"/>
    <tableColumn id="10" xr3:uid="{7691F72F-DB10-4A44-A138-CBB1B48E0191}" name="総数／事業所数" dataCellStyle="桁区切り"/>
    <tableColumn id="11" xr3:uid="{C8B1A1A0-8A36-429F-8F34-5E58B150C8D3}" name="総数／構成比" dataDxfId="548"/>
    <tableColumn id="12" xr3:uid="{D60123C0-48B5-4FED-A267-02BF9E7A86DE}" name="個人／事業所数" dataCellStyle="桁区切り"/>
    <tableColumn id="13" xr3:uid="{617EB477-DB22-4DC4-9367-777DA95AA0A8}" name="個人／構成比" dataDxfId="547"/>
    <tableColumn id="14" xr3:uid="{2DF4C0D2-B965-459C-8CCC-6989084C1881}" name="法人／事業所数" dataCellStyle="桁区切り"/>
    <tableColumn id="15" xr3:uid="{F935FAB1-9B38-4E90-82DF-EC64B70045ED}" name="法人／構成比" dataDxfId="546"/>
    <tableColumn id="16" xr3:uid="{D13A4411-10F0-467D-82B9-441461340611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2BB6F60-9E06-483F-A268-196D94BDA238}" name="LTBL_28202" displayName="LTBL_28202" ref="B4:I20" totalsRowCount="1">
  <autoFilter ref="B4:I19" xr:uid="{B2BB6F60-9E06-483F-A268-196D94BDA238}"/>
  <tableColumns count="8">
    <tableColumn id="9" xr3:uid="{5D51516B-4820-4FD2-A0A7-4B4E1317F41F}" name="産業大分類" totalsRowLabel="合計" totalsRowDxfId="545"/>
    <tableColumn id="10" xr3:uid="{F384EB0B-8E54-4D7B-8408-F63396B47071}" name="総数／事業所数" totalsRowFunction="custom" totalsRowDxfId="544" dataCellStyle="桁区切り" totalsRowCellStyle="桁区切り">
      <totalsRowFormula>SUM(LTBL_28202[総数／事業所数])</totalsRowFormula>
    </tableColumn>
    <tableColumn id="11" xr3:uid="{11CA3DDD-859E-4204-8070-E9611A7F33CE}" name="総数／構成比" dataDxfId="543"/>
    <tableColumn id="12" xr3:uid="{0B9C604C-FCFF-4020-9B15-038F8B244683}" name="個人／事業所数" totalsRowFunction="sum" totalsRowDxfId="542" dataCellStyle="桁区切り" totalsRowCellStyle="桁区切り"/>
    <tableColumn id="13" xr3:uid="{D3A9F8AE-398F-40FC-A9FE-D5CA090B4AC4}" name="個人／構成比" dataDxfId="541"/>
    <tableColumn id="14" xr3:uid="{FF0ADB97-9FC6-4A74-B902-956D527D4B08}" name="法人／事業所数" totalsRowFunction="sum" totalsRowDxfId="540" dataCellStyle="桁区切り" totalsRowCellStyle="桁区切り"/>
    <tableColumn id="15" xr3:uid="{D3631791-C777-450E-8A4B-A6C5AF90070D}" name="法人／構成比" dataDxfId="539"/>
    <tableColumn id="16" xr3:uid="{96D32440-3FB4-4263-9BBE-5DD23770BFB1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B2FF111-AAB3-4FA1-B548-3531EE86F95E}" name="M_TABLE_28202" displayName="M_TABLE_28202" ref="B23:I43" totalsRowShown="0">
  <autoFilter ref="B23:I43" xr:uid="{9B2FF111-AAB3-4FA1-B548-3531EE86F95E}"/>
  <tableColumns count="8">
    <tableColumn id="9" xr3:uid="{E5486E7C-1C20-4950-A4B4-3E474E506D73}" name="産業中分類上位２０"/>
    <tableColumn id="10" xr3:uid="{7A899301-3C1D-4BC6-8B6E-22E7F7420C89}" name="総数／事業所数" dataCellStyle="桁区切り"/>
    <tableColumn id="11" xr3:uid="{E94FED03-3F07-46E4-8BD3-451FA8628D3B}" name="総数／構成比" dataDxfId="537"/>
    <tableColumn id="12" xr3:uid="{FF653822-B793-4C92-BB0B-73CC70F55963}" name="個人／事業所数" dataCellStyle="桁区切り"/>
    <tableColumn id="13" xr3:uid="{8FAF666D-729E-4474-81AB-83A9C9516B7C}" name="個人／構成比" dataDxfId="536"/>
    <tableColumn id="14" xr3:uid="{9F9A91AC-F473-4FA3-A6A1-1F86C7D11F96}" name="法人／事業所数" dataCellStyle="桁区切り"/>
    <tableColumn id="15" xr3:uid="{F9A737FC-2FD1-4BA1-BDD8-77B64AC2831B}" name="法人／構成比" dataDxfId="535"/>
    <tableColumn id="16" xr3:uid="{9FCDCC3F-F1B7-4D44-8037-ABBA1B0FA99A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8656E40-0E48-4BDA-AABC-10DB8D69A929}" name="S_TABLE_28202" displayName="S_TABLE_28202" ref="B46:I66" totalsRowShown="0">
  <autoFilter ref="B46:I66" xr:uid="{38656E40-0E48-4BDA-AABC-10DB8D69A929}"/>
  <tableColumns count="8">
    <tableColumn id="9" xr3:uid="{29FAF54F-BA40-4BC3-AC0E-AF67141F9EE1}" name="産業小分類上位２０"/>
    <tableColumn id="10" xr3:uid="{AB89E102-DDBB-4978-9257-5DCCBAD0B7B5}" name="総数／事業所数" dataCellStyle="桁区切り"/>
    <tableColumn id="11" xr3:uid="{BC1A9B31-BA11-42F1-8387-64C5B0B48373}" name="総数／構成比" dataDxfId="534"/>
    <tableColumn id="12" xr3:uid="{F7FB13ED-396A-4E3E-AD09-83146937CD28}" name="個人／事業所数" dataCellStyle="桁区切り"/>
    <tableColumn id="13" xr3:uid="{45DB993B-141C-42C9-BFE8-024EAEC36EDB}" name="個人／構成比" dataDxfId="533"/>
    <tableColumn id="14" xr3:uid="{AF72C8D8-E1EF-4DA2-A3AA-8D580F52AA5F}" name="法人／事業所数" dataCellStyle="桁区切り"/>
    <tableColumn id="15" xr3:uid="{B3FD3BFE-14EA-4502-A9B7-62BC133F2660}" name="法人／構成比" dataDxfId="532"/>
    <tableColumn id="16" xr3:uid="{7CF8D414-26E7-4820-9914-C955428B994E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8689D32-E01F-46AC-9E42-CB00C0351B44}" name="LTBL_28100" displayName="LTBL_28100" ref="B4:I20" totalsRowCount="1">
  <autoFilter ref="B4:I19" xr:uid="{48689D32-E01F-46AC-9E42-CB00C0351B44}"/>
  <tableColumns count="8">
    <tableColumn id="9" xr3:uid="{53388E72-337C-4827-914F-5E7FD4C7955E}" name="産業大分類" totalsRowLabel="合計" totalsRowDxfId="699"/>
    <tableColumn id="10" xr3:uid="{7D1DB732-DAF3-4B96-9CF1-53F62369F1CF}" name="総数／事業所数" totalsRowFunction="custom" totalsRowDxfId="698" dataCellStyle="桁区切り" totalsRowCellStyle="桁区切り">
      <totalsRowFormula>SUM(LTBL_28100[総数／事業所数])</totalsRowFormula>
    </tableColumn>
    <tableColumn id="11" xr3:uid="{E3493148-5C64-422C-B06B-A029D6792A93}" name="総数／構成比" dataDxfId="697"/>
    <tableColumn id="12" xr3:uid="{8F49FAB3-6610-4734-8926-EA0B4A1AAA15}" name="個人／事業所数" totalsRowFunction="sum" totalsRowDxfId="696" dataCellStyle="桁区切り" totalsRowCellStyle="桁区切り"/>
    <tableColumn id="13" xr3:uid="{065F8874-E511-464F-A1F2-B1524F08364F}" name="個人／構成比" dataDxfId="695"/>
    <tableColumn id="14" xr3:uid="{50B57319-2C8D-4FF2-BB12-2D70AB25CF7B}" name="法人／事業所数" totalsRowFunction="sum" totalsRowDxfId="694" dataCellStyle="桁区切り" totalsRowCellStyle="桁区切り"/>
    <tableColumn id="15" xr3:uid="{718E6ED8-1696-441A-B736-F0521782B102}" name="法人／構成比" dataDxfId="693"/>
    <tableColumn id="16" xr3:uid="{FE06D6B4-404E-4E91-A6E0-48A1832EE103}" name="法人以外の団体／事業所数" totalsRowFunction="sum" totalsRowDxfId="69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0D50094-FB72-42FD-B0FE-B2BCCCCD456A}" name="LTBL_28203" displayName="LTBL_28203" ref="B4:I20" totalsRowCount="1">
  <autoFilter ref="B4:I19" xr:uid="{60D50094-FB72-42FD-B0FE-B2BCCCCD456A}"/>
  <tableColumns count="8">
    <tableColumn id="9" xr3:uid="{57A48A2D-65C6-4FEA-A1A3-6D11B90D8B73}" name="産業大分類" totalsRowLabel="合計" totalsRowDxfId="531"/>
    <tableColumn id="10" xr3:uid="{CF20BAAC-8B21-4417-A12D-21D008F81E4A}" name="総数／事業所数" totalsRowFunction="custom" totalsRowDxfId="530" dataCellStyle="桁区切り" totalsRowCellStyle="桁区切り">
      <totalsRowFormula>SUM(LTBL_28203[総数／事業所数])</totalsRowFormula>
    </tableColumn>
    <tableColumn id="11" xr3:uid="{8993F674-2796-48EB-911F-2C6DAED8F1F6}" name="総数／構成比" dataDxfId="529"/>
    <tableColumn id="12" xr3:uid="{120FDD00-C807-4AD1-A023-03AD9090BB46}" name="個人／事業所数" totalsRowFunction="sum" totalsRowDxfId="528" dataCellStyle="桁区切り" totalsRowCellStyle="桁区切り"/>
    <tableColumn id="13" xr3:uid="{D38275B4-A56E-43F1-A6F6-E05AAD3B85CE}" name="個人／構成比" dataDxfId="527"/>
    <tableColumn id="14" xr3:uid="{5714F11C-3A21-4681-AB13-356C0E034C39}" name="法人／事業所数" totalsRowFunction="sum" totalsRowDxfId="526" dataCellStyle="桁区切り" totalsRowCellStyle="桁区切り"/>
    <tableColumn id="15" xr3:uid="{1EFFB467-233E-4925-859B-2B7E7D5C045E}" name="法人／構成比" dataDxfId="525"/>
    <tableColumn id="16" xr3:uid="{086DDDB6-A689-4A91-B9C3-B04A89990DC4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56A2869-E9D6-4E88-82B1-81B6AB69B2DD}" name="M_TABLE_28203" displayName="M_TABLE_28203" ref="B23:I43" totalsRowShown="0">
  <autoFilter ref="B23:I43" xr:uid="{256A2869-E9D6-4E88-82B1-81B6AB69B2DD}"/>
  <tableColumns count="8">
    <tableColumn id="9" xr3:uid="{39C4878F-28F8-4FFF-A762-F7ED9036CE30}" name="産業中分類上位２０"/>
    <tableColumn id="10" xr3:uid="{AEDB63EE-3098-402C-9CBB-EFACF9E75363}" name="総数／事業所数" dataCellStyle="桁区切り"/>
    <tableColumn id="11" xr3:uid="{D7C20CF7-020B-4B49-94D0-3B4A278C1CB4}" name="総数／構成比" dataDxfId="523"/>
    <tableColumn id="12" xr3:uid="{F3829509-1C64-4457-A6C6-202C5A96E547}" name="個人／事業所数" dataCellStyle="桁区切り"/>
    <tableColumn id="13" xr3:uid="{2570DC9E-F4E0-4CF0-97D7-FF9C1D66248C}" name="個人／構成比" dataDxfId="522"/>
    <tableColumn id="14" xr3:uid="{5A05137E-81CB-426B-9F45-84684FE59E81}" name="法人／事業所数" dataCellStyle="桁区切り"/>
    <tableColumn id="15" xr3:uid="{5180AEEC-4C75-431F-A7CA-AEA0110BA8AF}" name="法人／構成比" dataDxfId="521"/>
    <tableColumn id="16" xr3:uid="{EE199297-7CCB-4B90-9630-9E0A9609FE9B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78AD662-63FF-4B13-BD95-46848AD8FF61}" name="S_TABLE_28203" displayName="S_TABLE_28203" ref="B46:I66" totalsRowShown="0">
  <autoFilter ref="B46:I66" xr:uid="{B78AD662-63FF-4B13-BD95-46848AD8FF61}"/>
  <tableColumns count="8">
    <tableColumn id="9" xr3:uid="{476D6978-2909-4ECA-ABFF-677CCF93D4EF}" name="産業小分類上位２０"/>
    <tableColumn id="10" xr3:uid="{2E9DAC6A-4EF7-4EA6-ADA8-BA641CCA238A}" name="総数／事業所数" dataCellStyle="桁区切り"/>
    <tableColumn id="11" xr3:uid="{E0872DB7-4644-4C65-B63F-1DA131FF87CB}" name="総数／構成比" dataDxfId="520"/>
    <tableColumn id="12" xr3:uid="{FEA9C2DD-FAFC-4B1A-8B86-92FA199A6A09}" name="個人／事業所数" dataCellStyle="桁区切り"/>
    <tableColumn id="13" xr3:uid="{E096C4D9-780E-45F1-ACAD-F81367F762BA}" name="個人／構成比" dataDxfId="519"/>
    <tableColumn id="14" xr3:uid="{44ECA924-155C-4916-AE73-B7FC1658D2B5}" name="法人／事業所数" dataCellStyle="桁区切り"/>
    <tableColumn id="15" xr3:uid="{18FF4BE3-9850-44C6-8BFD-BF8A0E6A2E9D}" name="法人／構成比" dataDxfId="518"/>
    <tableColumn id="16" xr3:uid="{6FF03A02-AC1A-4C50-BFBB-9AFE90508306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2F0BB40-DFBE-4E46-BB9A-877F7F6FB617}" name="LTBL_28204" displayName="LTBL_28204" ref="B4:I20" totalsRowCount="1">
  <autoFilter ref="B4:I19" xr:uid="{12F0BB40-DFBE-4E46-BB9A-877F7F6FB617}"/>
  <tableColumns count="8">
    <tableColumn id="9" xr3:uid="{704048D0-DA63-452C-AB06-9D694DDF4DAF}" name="産業大分類" totalsRowLabel="合計" totalsRowDxfId="517"/>
    <tableColumn id="10" xr3:uid="{94C7C825-5DD9-4BAD-9021-7417C5CE0E4B}" name="総数／事業所数" totalsRowFunction="custom" totalsRowDxfId="516" dataCellStyle="桁区切り" totalsRowCellStyle="桁区切り">
      <totalsRowFormula>SUM(LTBL_28204[総数／事業所数])</totalsRowFormula>
    </tableColumn>
    <tableColumn id="11" xr3:uid="{5461201A-2ED9-4DCA-A6F5-CFAD28E12D6A}" name="総数／構成比" dataDxfId="515"/>
    <tableColumn id="12" xr3:uid="{E45EA41F-5001-47E3-AD61-138879DB8D13}" name="個人／事業所数" totalsRowFunction="sum" totalsRowDxfId="514" dataCellStyle="桁区切り" totalsRowCellStyle="桁区切り"/>
    <tableColumn id="13" xr3:uid="{74FF42D1-5E88-4985-BE10-D1CCB6B0634D}" name="個人／構成比" dataDxfId="513"/>
    <tableColumn id="14" xr3:uid="{B4A7EAA4-3BF0-44C3-8462-022181EB5544}" name="法人／事業所数" totalsRowFunction="sum" totalsRowDxfId="512" dataCellStyle="桁区切り" totalsRowCellStyle="桁区切り"/>
    <tableColumn id="15" xr3:uid="{A0C6D5DB-69F8-49F5-BF1C-C6F2E3669EBB}" name="法人／構成比" dataDxfId="511"/>
    <tableColumn id="16" xr3:uid="{5B8B3EEF-C7A7-4D88-9192-34FEA04D049B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6A72815-8E49-4EA8-BB47-57B7603A976A}" name="M_TABLE_28204" displayName="M_TABLE_28204" ref="B23:I43" totalsRowShown="0">
  <autoFilter ref="B23:I43" xr:uid="{96A72815-8E49-4EA8-BB47-57B7603A976A}"/>
  <tableColumns count="8">
    <tableColumn id="9" xr3:uid="{C65AF41C-15E2-4BCC-AFC9-90A82734B796}" name="産業中分類上位２０"/>
    <tableColumn id="10" xr3:uid="{898D99DB-38E4-4E2F-A4E4-8B74BD13E87A}" name="総数／事業所数" dataCellStyle="桁区切り"/>
    <tableColumn id="11" xr3:uid="{678F1BFA-7BB3-4584-9003-8C9062C90537}" name="総数／構成比" dataDxfId="509"/>
    <tableColumn id="12" xr3:uid="{6F2ECB35-8567-4C1A-AC35-F29525AF161B}" name="個人／事業所数" dataCellStyle="桁区切り"/>
    <tableColumn id="13" xr3:uid="{395FDF20-6D21-4EA2-A33A-855B21CEA4DD}" name="個人／構成比" dataDxfId="508"/>
    <tableColumn id="14" xr3:uid="{50ED3408-D888-4542-AB1B-230D1A6AF36A}" name="法人／事業所数" dataCellStyle="桁区切り"/>
    <tableColumn id="15" xr3:uid="{A40D5860-DC5B-41BE-87B6-C3E7DFD2BCDA}" name="法人／構成比" dataDxfId="507"/>
    <tableColumn id="16" xr3:uid="{191E80C6-20E9-4D9B-85B1-E10AF6522ECD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472FBEC-FAF7-4385-A4CD-0D75808B48ED}" name="S_TABLE_28204" displayName="S_TABLE_28204" ref="B46:I66" totalsRowShown="0">
  <autoFilter ref="B46:I66" xr:uid="{3472FBEC-FAF7-4385-A4CD-0D75808B48ED}"/>
  <tableColumns count="8">
    <tableColumn id="9" xr3:uid="{5BB5AE7B-0401-4D4C-9CE0-3B993A1D4848}" name="産業小分類上位２０"/>
    <tableColumn id="10" xr3:uid="{8F424164-7170-45A7-AD37-5C44E4F93847}" name="総数／事業所数" dataCellStyle="桁区切り"/>
    <tableColumn id="11" xr3:uid="{8355DFBF-8332-4E56-BF44-BECC2796BBBB}" name="総数／構成比" dataDxfId="506"/>
    <tableColumn id="12" xr3:uid="{BFA43D95-7AE4-43E6-B8ED-68B6BF25E199}" name="個人／事業所数" dataCellStyle="桁区切り"/>
    <tableColumn id="13" xr3:uid="{72BB93EF-24D7-4254-9444-8E51FC8D7F7A}" name="個人／構成比" dataDxfId="505"/>
    <tableColumn id="14" xr3:uid="{17C1F398-D090-4134-81C1-D4BC8A47AD26}" name="法人／事業所数" dataCellStyle="桁区切り"/>
    <tableColumn id="15" xr3:uid="{7309186E-C4A3-4908-883E-B91ABB7BF14E}" name="法人／構成比" dataDxfId="504"/>
    <tableColumn id="16" xr3:uid="{243E468D-5116-4C0F-B1B3-0E00EE31A94C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AA4CFBE-48B2-4F2D-BB36-55B2A73DAE08}" name="LTBL_28205" displayName="LTBL_28205" ref="B4:I20" totalsRowCount="1">
  <autoFilter ref="B4:I19" xr:uid="{DAA4CFBE-48B2-4F2D-BB36-55B2A73DAE08}"/>
  <tableColumns count="8">
    <tableColumn id="9" xr3:uid="{1B2625C9-F516-4110-A7D3-E659D4A4CCC6}" name="産業大分類" totalsRowLabel="合計" totalsRowDxfId="503"/>
    <tableColumn id="10" xr3:uid="{7BEC2B00-674E-4A4F-B3A3-029E6633D386}" name="総数／事業所数" totalsRowFunction="custom" totalsRowDxfId="502" dataCellStyle="桁区切り" totalsRowCellStyle="桁区切り">
      <totalsRowFormula>SUM(LTBL_28205[総数／事業所数])</totalsRowFormula>
    </tableColumn>
    <tableColumn id="11" xr3:uid="{5A4DE983-B514-4C2E-80D1-D4A5CC60511E}" name="総数／構成比" dataDxfId="501"/>
    <tableColumn id="12" xr3:uid="{848202D9-AC0A-4F19-B006-A8A133D76DC6}" name="個人／事業所数" totalsRowFunction="sum" totalsRowDxfId="500" dataCellStyle="桁区切り" totalsRowCellStyle="桁区切り"/>
    <tableColumn id="13" xr3:uid="{9E6D2702-DEBD-4C4B-A384-A748EE1A500F}" name="個人／構成比" dataDxfId="499"/>
    <tableColumn id="14" xr3:uid="{FE287331-55B1-4F19-BC1B-2A183F9B34CB}" name="法人／事業所数" totalsRowFunction="sum" totalsRowDxfId="498" dataCellStyle="桁区切り" totalsRowCellStyle="桁区切り"/>
    <tableColumn id="15" xr3:uid="{C9574C82-33BB-43ED-9471-C294E706F9E0}" name="法人／構成比" dataDxfId="497"/>
    <tableColumn id="16" xr3:uid="{31EFDAEA-90EC-4333-A530-C7C365C345F1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2B36D8A-36D6-4A12-A9CE-9444755A768A}" name="M_TABLE_28205" displayName="M_TABLE_28205" ref="B23:I43" totalsRowShown="0">
  <autoFilter ref="B23:I43" xr:uid="{A2B36D8A-36D6-4A12-A9CE-9444755A768A}"/>
  <tableColumns count="8">
    <tableColumn id="9" xr3:uid="{72CC97E7-E24B-421A-97AA-90D42466992E}" name="産業中分類上位２０"/>
    <tableColumn id="10" xr3:uid="{E59BB3D0-10C3-440A-8F6B-6AC931817E2B}" name="総数／事業所数" dataCellStyle="桁区切り"/>
    <tableColumn id="11" xr3:uid="{620B5FD6-35C0-4F27-BD69-FB9FA7D8361F}" name="総数／構成比" dataDxfId="495"/>
    <tableColumn id="12" xr3:uid="{CB748D14-FC6D-4066-A72C-F40623DA3AFA}" name="個人／事業所数" dataCellStyle="桁区切り"/>
    <tableColumn id="13" xr3:uid="{BD45F849-3475-4A93-8D70-3C7B237E4957}" name="個人／構成比" dataDxfId="494"/>
    <tableColumn id="14" xr3:uid="{5DEE28E9-A13C-43DF-95A9-DD021C6EB5B3}" name="法人／事業所数" dataCellStyle="桁区切り"/>
    <tableColumn id="15" xr3:uid="{A86F8AE5-B81F-4459-A046-3924628D85C4}" name="法人／構成比" dataDxfId="493"/>
    <tableColumn id="16" xr3:uid="{B2509ADD-4A93-4468-80F5-C6D528B54483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B13F191-188B-4A42-95A4-C70436AD79A6}" name="S_TABLE_28205" displayName="S_TABLE_28205" ref="B46:I66" totalsRowShown="0">
  <autoFilter ref="B46:I66" xr:uid="{CB13F191-188B-4A42-95A4-C70436AD79A6}"/>
  <tableColumns count="8">
    <tableColumn id="9" xr3:uid="{739842F5-9376-47F9-9FEE-69F7FFBD246C}" name="産業小分類上位２０"/>
    <tableColumn id="10" xr3:uid="{D374E818-E4A8-4718-8FAA-B0184F805B6C}" name="総数／事業所数" dataCellStyle="桁区切り"/>
    <tableColumn id="11" xr3:uid="{F51FF614-EBE7-4A17-9146-BAFA27C10910}" name="総数／構成比" dataDxfId="492"/>
    <tableColumn id="12" xr3:uid="{2B250DB6-BEA2-475C-BFC8-ED6E3CC84385}" name="個人／事業所数" dataCellStyle="桁区切り"/>
    <tableColumn id="13" xr3:uid="{0BA68D72-2342-4D43-B79B-B33073822607}" name="個人／構成比" dataDxfId="491"/>
    <tableColumn id="14" xr3:uid="{7226F421-B144-4475-A664-449C5CD9AE1A}" name="法人／事業所数" dataCellStyle="桁区切り"/>
    <tableColumn id="15" xr3:uid="{29BED3EB-D32B-40D0-8C7F-F7D9AAC4AFF0}" name="法人／構成比" dataDxfId="490"/>
    <tableColumn id="16" xr3:uid="{E05A34F7-BB77-4F3E-B400-970C12C23FC1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9E629A3-ED7E-425E-8777-33EEC6D0412F}" name="LTBL_28206" displayName="LTBL_28206" ref="B4:I20" totalsRowCount="1">
  <autoFilter ref="B4:I19" xr:uid="{09E629A3-ED7E-425E-8777-33EEC6D0412F}"/>
  <tableColumns count="8">
    <tableColumn id="9" xr3:uid="{9BB9D710-98B3-4435-84CA-58D49F4F3AA3}" name="産業大分類" totalsRowLabel="合計" totalsRowDxfId="489"/>
    <tableColumn id="10" xr3:uid="{AD528A0C-19F6-465F-8883-B4EA7203BBC5}" name="総数／事業所数" totalsRowFunction="custom" totalsRowDxfId="488" dataCellStyle="桁区切り" totalsRowCellStyle="桁区切り">
      <totalsRowFormula>SUM(LTBL_28206[総数／事業所数])</totalsRowFormula>
    </tableColumn>
    <tableColumn id="11" xr3:uid="{F52BF490-7BFF-4725-9385-D4ACAED02251}" name="総数／構成比" dataDxfId="487"/>
    <tableColumn id="12" xr3:uid="{064F66C6-575D-4CF7-8FB3-CCA9704B90F7}" name="個人／事業所数" totalsRowFunction="sum" totalsRowDxfId="486" dataCellStyle="桁区切り" totalsRowCellStyle="桁区切り"/>
    <tableColumn id="13" xr3:uid="{E943CC30-5E8D-4B71-80CE-D26AF7B90604}" name="個人／構成比" dataDxfId="485"/>
    <tableColumn id="14" xr3:uid="{DA7E170E-1769-4755-9BE5-E83946BE726C}" name="法人／事業所数" totalsRowFunction="sum" totalsRowDxfId="484" dataCellStyle="桁区切り" totalsRowCellStyle="桁区切り"/>
    <tableColumn id="15" xr3:uid="{0DE51F7E-FC52-47CF-A0F7-2DD7225893E0}" name="法人／構成比" dataDxfId="483"/>
    <tableColumn id="16" xr3:uid="{B125F5D8-F007-4094-B6DC-FAC406D063FB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1D72ECC-43E2-409E-AB72-E4A76043224A}" name="M_TABLE_28100" displayName="M_TABLE_28100" ref="B23:I43" totalsRowShown="0">
  <autoFilter ref="B23:I43" xr:uid="{61D72ECC-43E2-409E-AB72-E4A76043224A}"/>
  <tableColumns count="8">
    <tableColumn id="9" xr3:uid="{024BE706-4AF0-4F35-B29A-D6A832DC72FE}" name="産業中分類上位２０"/>
    <tableColumn id="10" xr3:uid="{AB864D16-FB77-4E2D-A8F8-939A7A238642}" name="総数／事業所数" dataCellStyle="桁区切り"/>
    <tableColumn id="11" xr3:uid="{13619E06-C2F6-48D7-B778-6A561ED12B13}" name="総数／構成比" dataDxfId="691"/>
    <tableColumn id="12" xr3:uid="{3D74BBD1-430E-4993-85CE-95E3027C50DC}" name="個人／事業所数" dataCellStyle="桁区切り"/>
    <tableColumn id="13" xr3:uid="{D384FF5E-10A7-439C-9CFD-A1B42EDDC9EA}" name="個人／構成比" dataDxfId="690"/>
    <tableColumn id="14" xr3:uid="{8F7918F7-9B06-494F-8275-D6AFE3005621}" name="法人／事業所数" dataCellStyle="桁区切り"/>
    <tableColumn id="15" xr3:uid="{7B80A66F-0551-4047-AB80-0B7C51C26F1F}" name="法人／構成比" dataDxfId="689"/>
    <tableColumn id="16" xr3:uid="{A1CD9A5F-BBFA-4C24-8BEF-0C61FD9871C7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2A7944D-05E9-44C3-9D05-A1F43E3E38A8}" name="M_TABLE_28206" displayName="M_TABLE_28206" ref="B23:I44" totalsRowShown="0">
  <autoFilter ref="B23:I44" xr:uid="{F2A7944D-05E9-44C3-9D05-A1F43E3E38A8}"/>
  <tableColumns count="8">
    <tableColumn id="9" xr3:uid="{012354E2-A32F-4ABF-AE06-AF83A8973394}" name="産業中分類上位２０"/>
    <tableColumn id="10" xr3:uid="{496D0403-8400-420F-97D0-EAF2C583C78C}" name="総数／事業所数" dataCellStyle="桁区切り"/>
    <tableColumn id="11" xr3:uid="{0FB2F67F-BC4A-4E48-9D8B-62ADAA0CD28E}" name="総数／構成比" dataDxfId="481"/>
    <tableColumn id="12" xr3:uid="{4FEB61B8-DBB5-4A83-8502-3C7E40630967}" name="個人／事業所数" dataCellStyle="桁区切り"/>
    <tableColumn id="13" xr3:uid="{DBA3C713-B058-4E30-8FF4-FE8B06B7C6A5}" name="個人／構成比" dataDxfId="480"/>
    <tableColumn id="14" xr3:uid="{BB808A82-A1F0-4023-822B-9D413E2F55C6}" name="法人／事業所数" dataCellStyle="桁区切り"/>
    <tableColumn id="15" xr3:uid="{83765DF5-11CA-4614-8AC7-75E9E4433BFC}" name="法人／構成比" dataDxfId="479"/>
    <tableColumn id="16" xr3:uid="{6EC395B1-D6F5-42BA-A3FD-FBD038D59D8E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3DAACD4-BB4E-435A-B05B-DA5588ACAD5A}" name="S_TABLE_28206" displayName="S_TABLE_28206" ref="B47:I67" totalsRowShown="0">
  <autoFilter ref="B47:I67" xr:uid="{63DAACD4-BB4E-435A-B05B-DA5588ACAD5A}"/>
  <tableColumns count="8">
    <tableColumn id="9" xr3:uid="{7F1991D2-4E8C-43F4-A025-7F5CEAED0F3E}" name="産業小分類上位２０"/>
    <tableColumn id="10" xr3:uid="{957D60C2-CB2A-417A-9B39-0619AB4519D2}" name="総数／事業所数" dataCellStyle="桁区切り"/>
    <tableColumn id="11" xr3:uid="{4267E457-7F5F-4F4A-AB5F-3BB915A19404}" name="総数／構成比" dataDxfId="478"/>
    <tableColumn id="12" xr3:uid="{75FE6E7A-6BF7-4AD5-8C06-10D905B0E140}" name="個人／事業所数" dataCellStyle="桁区切り"/>
    <tableColumn id="13" xr3:uid="{AB83F6F3-D4FC-4064-9960-9BD25C694257}" name="個人／構成比" dataDxfId="477"/>
    <tableColumn id="14" xr3:uid="{1F83069D-6ABD-488E-AA36-1C76137C906C}" name="法人／事業所数" dataCellStyle="桁区切り"/>
    <tableColumn id="15" xr3:uid="{3AE89CB3-51C1-4CF5-96DA-F9B4517F7FE0}" name="法人／構成比" dataDxfId="476"/>
    <tableColumn id="16" xr3:uid="{DAD9D310-1D27-4F6C-B2AC-A9F38E9536EF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E059900-8110-4CDE-8E0D-CE63ABE722BA}" name="LTBL_28207" displayName="LTBL_28207" ref="B4:I20" totalsRowCount="1">
  <autoFilter ref="B4:I19" xr:uid="{9E059900-8110-4CDE-8E0D-CE63ABE722BA}"/>
  <tableColumns count="8">
    <tableColumn id="9" xr3:uid="{E87612FE-7070-4226-990B-DC6A69C5300D}" name="産業大分類" totalsRowLabel="合計" totalsRowDxfId="475"/>
    <tableColumn id="10" xr3:uid="{96E2F134-B781-4DB2-B06B-E59B2F91AD55}" name="総数／事業所数" totalsRowFunction="custom" totalsRowDxfId="474" dataCellStyle="桁区切り" totalsRowCellStyle="桁区切り">
      <totalsRowFormula>SUM(LTBL_28207[総数／事業所数])</totalsRowFormula>
    </tableColumn>
    <tableColumn id="11" xr3:uid="{01B0D87C-6D46-4C15-A221-172113A66CC9}" name="総数／構成比" dataDxfId="473"/>
    <tableColumn id="12" xr3:uid="{0C590785-903E-4BC3-8AB7-6B9BCA9DD5A5}" name="個人／事業所数" totalsRowFunction="sum" totalsRowDxfId="472" dataCellStyle="桁区切り" totalsRowCellStyle="桁区切り"/>
    <tableColumn id="13" xr3:uid="{CDADDFC0-C58B-44CF-9EEB-3AE55561496B}" name="個人／構成比" dataDxfId="471"/>
    <tableColumn id="14" xr3:uid="{36F1F81F-B084-43C6-A118-505567F8304B}" name="法人／事業所数" totalsRowFunction="sum" totalsRowDxfId="470" dataCellStyle="桁区切り" totalsRowCellStyle="桁区切り"/>
    <tableColumn id="15" xr3:uid="{EC36E8FF-D2FD-4A1E-BF65-E937227B2936}" name="法人／構成比" dataDxfId="469"/>
    <tableColumn id="16" xr3:uid="{1B2F6B37-1E80-4BC1-A9DD-969CFD901D4B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EA97F5D-A675-485E-A081-11E1C5C9E312}" name="M_TABLE_28207" displayName="M_TABLE_28207" ref="B23:I43" totalsRowShown="0">
  <autoFilter ref="B23:I43" xr:uid="{3EA97F5D-A675-485E-A081-11E1C5C9E312}"/>
  <tableColumns count="8">
    <tableColumn id="9" xr3:uid="{7B74CE36-3401-40CB-B5C3-5F79014A7C62}" name="産業中分類上位２０"/>
    <tableColumn id="10" xr3:uid="{95D1E960-C393-4FE4-9C5B-F0E21B2D99BC}" name="総数／事業所数" dataCellStyle="桁区切り"/>
    <tableColumn id="11" xr3:uid="{463B29EA-7252-436F-981C-16C2BB0712BA}" name="総数／構成比" dataDxfId="467"/>
    <tableColumn id="12" xr3:uid="{CF7FC220-1BA9-47D3-AA33-F04180FB4ADA}" name="個人／事業所数" dataCellStyle="桁区切り"/>
    <tableColumn id="13" xr3:uid="{36094AA1-337B-4203-8009-7B5581FB789F}" name="個人／構成比" dataDxfId="466"/>
    <tableColumn id="14" xr3:uid="{32AF144F-437D-4BBE-AACB-00E99A32BCCE}" name="法人／事業所数" dataCellStyle="桁区切り"/>
    <tableColumn id="15" xr3:uid="{4C101BCA-7DEF-489A-9BD0-34BED5DCDFEE}" name="法人／構成比" dataDxfId="465"/>
    <tableColumn id="16" xr3:uid="{0C756AC8-10D8-4C1A-94BA-4011089F8A46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C52FB50-0C19-4606-B8A2-1E6F65815403}" name="S_TABLE_28207" displayName="S_TABLE_28207" ref="B46:I66" totalsRowShown="0">
  <autoFilter ref="B46:I66" xr:uid="{0C52FB50-0C19-4606-B8A2-1E6F65815403}"/>
  <tableColumns count="8">
    <tableColumn id="9" xr3:uid="{531151FD-88C9-4DE1-AF4D-18E101395F42}" name="産業小分類上位２０"/>
    <tableColumn id="10" xr3:uid="{71CBE951-32B6-496C-8FC6-C22341D9DE73}" name="総数／事業所数" dataCellStyle="桁区切り"/>
    <tableColumn id="11" xr3:uid="{01B89E4B-4285-49A9-9337-5055BFE781D6}" name="総数／構成比" dataDxfId="464"/>
    <tableColumn id="12" xr3:uid="{87B4ABCF-04DB-4792-8A42-370478363527}" name="個人／事業所数" dataCellStyle="桁区切り"/>
    <tableColumn id="13" xr3:uid="{AAB85B75-A1B6-4E0D-B26A-AD9BE5B7584F}" name="個人／構成比" dataDxfId="463"/>
    <tableColumn id="14" xr3:uid="{DA3B678C-D3C0-45E5-952D-9FC82829683D}" name="法人／事業所数" dataCellStyle="桁区切り"/>
    <tableColumn id="15" xr3:uid="{AADA358B-C57A-473C-B28C-F2F5718C971F}" name="法人／構成比" dataDxfId="462"/>
    <tableColumn id="16" xr3:uid="{94A68E21-6EA9-4721-BBFE-B9E910B1388D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3639BA9-34F9-4867-8F8D-1453778D837C}" name="LTBL_28208" displayName="LTBL_28208" ref="B4:I20" totalsRowCount="1">
  <autoFilter ref="B4:I19" xr:uid="{43639BA9-34F9-4867-8F8D-1453778D837C}"/>
  <tableColumns count="8">
    <tableColumn id="9" xr3:uid="{4FDEDBFF-7BE7-4609-B0C9-390784159124}" name="産業大分類" totalsRowLabel="合計" totalsRowDxfId="461"/>
    <tableColumn id="10" xr3:uid="{26B8C627-4A99-4D0A-960F-2CE83BBCD337}" name="総数／事業所数" totalsRowFunction="custom" totalsRowDxfId="460" dataCellStyle="桁区切り" totalsRowCellStyle="桁区切り">
      <totalsRowFormula>SUM(LTBL_28208[総数／事業所数])</totalsRowFormula>
    </tableColumn>
    <tableColumn id="11" xr3:uid="{6D752D89-B292-4266-862D-46EA6727E2DA}" name="総数／構成比" dataDxfId="459"/>
    <tableColumn id="12" xr3:uid="{873208B1-3724-4C8D-937D-C7185AF976F7}" name="個人／事業所数" totalsRowFunction="sum" totalsRowDxfId="458" dataCellStyle="桁区切り" totalsRowCellStyle="桁区切り"/>
    <tableColumn id="13" xr3:uid="{213DD294-407C-41D2-A9D2-51750536350D}" name="個人／構成比" dataDxfId="457"/>
    <tableColumn id="14" xr3:uid="{33C91588-180C-4E55-B414-E8A0D41F32DB}" name="法人／事業所数" totalsRowFunction="sum" totalsRowDxfId="456" dataCellStyle="桁区切り" totalsRowCellStyle="桁区切り"/>
    <tableColumn id="15" xr3:uid="{868454D5-060B-4328-9DB6-457C4E48DB02}" name="法人／構成比" dataDxfId="455"/>
    <tableColumn id="16" xr3:uid="{73286DFF-C26E-49BE-B269-DD34F27A8473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717358E-D983-46AA-A419-A085C36227AE}" name="M_TABLE_28208" displayName="M_TABLE_28208" ref="B23:I45" totalsRowShown="0">
  <autoFilter ref="B23:I45" xr:uid="{4717358E-D983-46AA-A419-A085C36227AE}"/>
  <tableColumns count="8">
    <tableColumn id="9" xr3:uid="{A0640641-7FBD-4B94-85A3-88E139EF48E4}" name="産業中分類上位２０"/>
    <tableColumn id="10" xr3:uid="{1777145D-E06E-4B41-B837-E63117C9DE47}" name="総数／事業所数" dataCellStyle="桁区切り"/>
    <tableColumn id="11" xr3:uid="{70C8A65E-9625-4EEF-9DB7-2A2673B2AEE3}" name="総数／構成比" dataDxfId="453"/>
    <tableColumn id="12" xr3:uid="{B62773AA-1862-4CCE-8711-38CEE10D216C}" name="個人／事業所数" dataCellStyle="桁区切り"/>
    <tableColumn id="13" xr3:uid="{3771D11C-8F99-4E6C-8BF1-86E1DD39585F}" name="個人／構成比" dataDxfId="452"/>
    <tableColumn id="14" xr3:uid="{0D5AD2EC-19AA-4414-AAC8-E4F4C3B5E60A}" name="法人／事業所数" dataCellStyle="桁区切り"/>
    <tableColumn id="15" xr3:uid="{CD27A31D-36DA-4640-B9CF-C57127365ED2}" name="法人／構成比" dataDxfId="451"/>
    <tableColumn id="16" xr3:uid="{BEAF6CBC-F759-41EC-ADB9-42D7B35F2A08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E029C50-4E20-4DFE-86E6-57CF9370BAFB}" name="S_TABLE_28208" displayName="S_TABLE_28208" ref="B48:I68" totalsRowShown="0">
  <autoFilter ref="B48:I68" xr:uid="{9E029C50-4E20-4DFE-86E6-57CF9370BAFB}"/>
  <tableColumns count="8">
    <tableColumn id="9" xr3:uid="{B17FC237-C155-4268-870E-A22B2E702291}" name="産業小分類上位２０"/>
    <tableColumn id="10" xr3:uid="{952AAC62-0E13-46D3-B7BF-844D4D97599C}" name="総数／事業所数" dataCellStyle="桁区切り"/>
    <tableColumn id="11" xr3:uid="{1012EF6D-392A-4324-ADF7-6A652B15B148}" name="総数／構成比" dataDxfId="450"/>
    <tableColumn id="12" xr3:uid="{BB79D726-10F8-4167-B75D-ABB313E400EF}" name="個人／事業所数" dataCellStyle="桁区切り"/>
    <tableColumn id="13" xr3:uid="{7FB7E2AC-2CB1-4313-97DE-DB30028A1E29}" name="個人／構成比" dataDxfId="449"/>
    <tableColumn id="14" xr3:uid="{BE489711-37E0-4A4D-9BFB-FCC10A526129}" name="法人／事業所数" dataCellStyle="桁区切り"/>
    <tableColumn id="15" xr3:uid="{D526B30C-4FC3-4763-88F9-36F362B77EC5}" name="法人／構成比" dataDxfId="448"/>
    <tableColumn id="16" xr3:uid="{B9C40D97-FB15-4AEC-9061-B84AFAC56F44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3AED3C4-CF98-4A14-96ED-FD12B0A30D09}" name="LTBL_28209" displayName="LTBL_28209" ref="B4:I20" totalsRowCount="1">
  <autoFilter ref="B4:I19" xr:uid="{43AED3C4-CF98-4A14-96ED-FD12B0A30D09}"/>
  <tableColumns count="8">
    <tableColumn id="9" xr3:uid="{1BC8730D-3E53-40B3-87E6-2E96AD3CC89F}" name="産業大分類" totalsRowLabel="合計" totalsRowDxfId="447"/>
    <tableColumn id="10" xr3:uid="{0855421B-EFB6-4411-9465-5ECAB487B173}" name="総数／事業所数" totalsRowFunction="custom" totalsRowDxfId="446" dataCellStyle="桁区切り" totalsRowCellStyle="桁区切り">
      <totalsRowFormula>SUM(LTBL_28209[総数／事業所数])</totalsRowFormula>
    </tableColumn>
    <tableColumn id="11" xr3:uid="{378C2551-5E48-42A2-B3B0-9BEB9AFC5735}" name="総数／構成比" dataDxfId="445"/>
    <tableColumn id="12" xr3:uid="{28788AAF-763D-4C18-AB9A-6FC449BF0595}" name="個人／事業所数" totalsRowFunction="sum" totalsRowDxfId="444" dataCellStyle="桁区切り" totalsRowCellStyle="桁区切り"/>
    <tableColumn id="13" xr3:uid="{B58987A4-1C17-4BDC-9BE8-7032621DBEB4}" name="個人／構成比" dataDxfId="443"/>
    <tableColumn id="14" xr3:uid="{BD28C1B1-C34F-436B-A796-DD2583C9093C}" name="法人／事業所数" totalsRowFunction="sum" totalsRowDxfId="442" dataCellStyle="桁区切り" totalsRowCellStyle="桁区切り"/>
    <tableColumn id="15" xr3:uid="{9941B332-A363-49CA-B145-53256736C7E4}" name="法人／構成比" dataDxfId="441"/>
    <tableColumn id="16" xr3:uid="{9F2D6E1C-CAF9-4AA0-8DAA-4B269B850243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36BBBC6-03D6-425A-B95F-2257E4F5FA9B}" name="M_TABLE_28209" displayName="M_TABLE_28209" ref="B23:I44" totalsRowShown="0">
  <autoFilter ref="B23:I44" xr:uid="{336BBBC6-03D6-425A-B95F-2257E4F5FA9B}"/>
  <tableColumns count="8">
    <tableColumn id="9" xr3:uid="{A4759E3A-CAB7-48F9-B927-CF30FA3CAB59}" name="産業中分類上位２０"/>
    <tableColumn id="10" xr3:uid="{20791C6D-9980-4301-AD61-5A4707B0D2A4}" name="総数／事業所数" dataCellStyle="桁区切り"/>
    <tableColumn id="11" xr3:uid="{0F790CE1-CBE1-4229-B150-68A080D0DB35}" name="総数／構成比" dataDxfId="439"/>
    <tableColumn id="12" xr3:uid="{054D9FEB-8C33-4E71-A057-E0ABC4D642C9}" name="個人／事業所数" dataCellStyle="桁区切り"/>
    <tableColumn id="13" xr3:uid="{CA1B60E9-0032-40DB-BA46-74372B827C4E}" name="個人／構成比" dataDxfId="438"/>
    <tableColumn id="14" xr3:uid="{18FDAC92-89D5-4898-AB91-E1E513B02AB4}" name="法人／事業所数" dataCellStyle="桁区切り"/>
    <tableColumn id="15" xr3:uid="{5C9F28DD-C0A7-4BFE-AC86-5AD2DDC86CFE}" name="法人／構成比" dataDxfId="437"/>
    <tableColumn id="16" xr3:uid="{924C8FF8-6A18-49A0-921E-751356BF92AB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2DBEF7D-1A2F-4A18-9A6C-B18826FA4335}" name="S_TABLE_28100" displayName="S_TABLE_28100" ref="B46:I66" totalsRowShown="0">
  <autoFilter ref="B46:I66" xr:uid="{22DBEF7D-1A2F-4A18-9A6C-B18826FA4335}"/>
  <tableColumns count="8">
    <tableColumn id="9" xr3:uid="{9E6EB29A-F2AF-4C6E-A0CF-4DEC30D92F17}" name="産業小分類上位２０"/>
    <tableColumn id="10" xr3:uid="{9342D973-A2A5-46B8-A4EE-8DC9EB5E1E41}" name="総数／事業所数" dataCellStyle="桁区切り"/>
    <tableColumn id="11" xr3:uid="{9D6A0F39-EA45-4C28-B0A0-1DEB755A63CC}" name="総数／構成比" dataDxfId="688"/>
    <tableColumn id="12" xr3:uid="{B93F3E1F-7D65-469B-9713-DD96FEE27670}" name="個人／事業所数" dataCellStyle="桁区切り"/>
    <tableColumn id="13" xr3:uid="{F2732D90-F622-4568-8A1D-48C63E991988}" name="個人／構成比" dataDxfId="687"/>
    <tableColumn id="14" xr3:uid="{256B88AF-2151-4864-A3B5-B2C33E0194B3}" name="法人／事業所数" dataCellStyle="桁区切り"/>
    <tableColumn id="15" xr3:uid="{1EF32617-8831-44CF-98E6-2B32182ECA44}" name="法人／構成比" dataDxfId="686"/>
    <tableColumn id="16" xr3:uid="{F1FF08A0-7474-473F-BE35-474FCE8832A9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7B647D25-EFAA-437A-AEB2-A306B26DABC1}" name="S_TABLE_28209" displayName="S_TABLE_28209" ref="B47:I67" totalsRowShown="0">
  <autoFilter ref="B47:I67" xr:uid="{7B647D25-EFAA-437A-AEB2-A306B26DABC1}"/>
  <tableColumns count="8">
    <tableColumn id="9" xr3:uid="{62EB1BC1-B02B-4EAC-8E3B-3A347ADEED8A}" name="産業小分類上位２０"/>
    <tableColumn id="10" xr3:uid="{D24CC60D-52E3-4A33-BA7B-ACEB743AFF5F}" name="総数／事業所数" dataCellStyle="桁区切り"/>
    <tableColumn id="11" xr3:uid="{4E0BB54E-C8A1-4FF7-864B-5626326CED6A}" name="総数／構成比" dataDxfId="436"/>
    <tableColumn id="12" xr3:uid="{C7D6A347-6F71-4C66-B972-50CF01C3222B}" name="個人／事業所数" dataCellStyle="桁区切り"/>
    <tableColumn id="13" xr3:uid="{4D7E2CFC-4E38-4BCA-8DBF-1F2DC7F5C004}" name="個人／構成比" dataDxfId="435"/>
    <tableColumn id="14" xr3:uid="{A26F2948-42B9-4663-9E6B-162267B01A63}" name="法人／事業所数" dataCellStyle="桁区切り"/>
    <tableColumn id="15" xr3:uid="{8F475BF5-9B78-43B7-84EF-56F7C66D45A8}" name="法人／構成比" dataDxfId="434"/>
    <tableColumn id="16" xr3:uid="{CC0C180A-8B2D-4BF9-98BB-24E3490FA0F1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6B9CA8B4-970D-4B48-9ABF-477248CE1D9E}" name="LTBL_28210" displayName="LTBL_28210" ref="B4:I20" totalsRowCount="1">
  <autoFilter ref="B4:I19" xr:uid="{6B9CA8B4-970D-4B48-9ABF-477248CE1D9E}"/>
  <tableColumns count="8">
    <tableColumn id="9" xr3:uid="{711CCF34-035E-49E1-AA55-9EA1E0E526BA}" name="産業大分類" totalsRowLabel="合計" totalsRowDxfId="433"/>
    <tableColumn id="10" xr3:uid="{0AB6E7B2-69F0-4913-B09A-0629F9835220}" name="総数／事業所数" totalsRowFunction="custom" totalsRowDxfId="432" dataCellStyle="桁区切り" totalsRowCellStyle="桁区切り">
      <totalsRowFormula>SUM(LTBL_28210[総数／事業所数])</totalsRowFormula>
    </tableColumn>
    <tableColumn id="11" xr3:uid="{B4D7B1B2-A586-4253-B7B1-9E821F61D118}" name="総数／構成比" dataDxfId="431"/>
    <tableColumn id="12" xr3:uid="{0EAB4CA5-37F7-4C63-AA0A-C4011EEC3AB3}" name="個人／事業所数" totalsRowFunction="sum" totalsRowDxfId="430" dataCellStyle="桁区切り" totalsRowCellStyle="桁区切り"/>
    <tableColumn id="13" xr3:uid="{099E0462-D3F5-42E2-A12D-921E82958C0E}" name="個人／構成比" dataDxfId="429"/>
    <tableColumn id="14" xr3:uid="{CBD85D0C-D0CC-4E95-8CEA-050530234A2E}" name="法人／事業所数" totalsRowFunction="sum" totalsRowDxfId="428" dataCellStyle="桁区切り" totalsRowCellStyle="桁区切り"/>
    <tableColumn id="15" xr3:uid="{7B986EF5-AAE8-4BD1-9CF4-27CC8B5ED55B}" name="法人／構成比" dataDxfId="427"/>
    <tableColumn id="16" xr3:uid="{77B9E339-2A55-4087-A0AF-E87163F4CED8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CAF29EB-C2EF-4DF1-8C60-3002295B21F4}" name="M_TABLE_28210" displayName="M_TABLE_28210" ref="B23:I43" totalsRowShown="0">
  <autoFilter ref="B23:I43" xr:uid="{8CAF29EB-C2EF-4DF1-8C60-3002295B21F4}"/>
  <tableColumns count="8">
    <tableColumn id="9" xr3:uid="{92FF7332-60BA-4BC2-BDEA-A10821B41752}" name="産業中分類上位２０"/>
    <tableColumn id="10" xr3:uid="{4C639775-6C77-4786-8F70-F6EF6EA08824}" name="総数／事業所数" dataCellStyle="桁区切り"/>
    <tableColumn id="11" xr3:uid="{9A15CD86-983F-4697-839F-86C42A83FFD1}" name="総数／構成比" dataDxfId="425"/>
    <tableColumn id="12" xr3:uid="{93B8D16F-2AA8-46E6-A50C-565D78710AB1}" name="個人／事業所数" dataCellStyle="桁区切り"/>
    <tableColumn id="13" xr3:uid="{6CE22B2C-5237-47DE-A185-8FA9FBD4C0EC}" name="個人／構成比" dataDxfId="424"/>
    <tableColumn id="14" xr3:uid="{4CE64F45-6740-4D64-98B9-EF0974D689B9}" name="法人／事業所数" dataCellStyle="桁区切り"/>
    <tableColumn id="15" xr3:uid="{F0BC2738-416D-4929-BA57-1B126B6814D2}" name="法人／構成比" dataDxfId="423"/>
    <tableColumn id="16" xr3:uid="{465381D0-C775-4F22-B031-11E445C95E71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81CD21E-127E-4182-85E4-35C48C139CBA}" name="S_TABLE_28210" displayName="S_TABLE_28210" ref="B46:I66" totalsRowShown="0">
  <autoFilter ref="B46:I66" xr:uid="{281CD21E-127E-4182-85E4-35C48C139CBA}"/>
  <tableColumns count="8">
    <tableColumn id="9" xr3:uid="{0E5C4DDF-22B2-46A4-BDC4-DA16EE20C92B}" name="産業小分類上位２０"/>
    <tableColumn id="10" xr3:uid="{8CFA87DA-CB17-4480-A39D-BF813426407A}" name="総数／事業所数" dataCellStyle="桁区切り"/>
    <tableColumn id="11" xr3:uid="{2C24C03A-0642-40F0-8E45-F9DB6C09AF03}" name="総数／構成比" dataDxfId="422"/>
    <tableColumn id="12" xr3:uid="{4F063349-8FBA-485F-B9BC-88504E4EFDAF}" name="個人／事業所数" dataCellStyle="桁区切り"/>
    <tableColumn id="13" xr3:uid="{0BC1E35D-F5AA-43F4-9F37-4CEC095DC342}" name="個人／構成比" dataDxfId="421"/>
    <tableColumn id="14" xr3:uid="{3B26443D-4419-4CA0-B615-CE2F35DD5B57}" name="法人／事業所数" dataCellStyle="桁区切り"/>
    <tableColumn id="15" xr3:uid="{040580FA-9D4B-4212-BC47-B26BF68202AB}" name="法人／構成比" dataDxfId="420"/>
    <tableColumn id="16" xr3:uid="{D87184B8-7A89-4C9D-9D6A-07156EA7CDC0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01B5AC4-0B9E-4122-A949-667B730E3BE0}" name="LTBL_28212" displayName="LTBL_28212" ref="B4:I20" totalsRowCount="1">
  <autoFilter ref="B4:I19" xr:uid="{E01B5AC4-0B9E-4122-A949-667B730E3BE0}"/>
  <tableColumns count="8">
    <tableColumn id="9" xr3:uid="{7221580B-7AFD-4733-A5CC-27BF46E5D74F}" name="産業大分類" totalsRowLabel="合計" totalsRowDxfId="419"/>
    <tableColumn id="10" xr3:uid="{CA7BD9C7-EBAA-42FF-ADBE-C886702A9BC9}" name="総数／事業所数" totalsRowFunction="custom" totalsRowDxfId="418" dataCellStyle="桁区切り" totalsRowCellStyle="桁区切り">
      <totalsRowFormula>SUM(LTBL_28212[総数／事業所数])</totalsRowFormula>
    </tableColumn>
    <tableColumn id="11" xr3:uid="{F1F08A45-DF77-4D69-B3CA-305B2F969A0D}" name="総数／構成比" dataDxfId="417"/>
    <tableColumn id="12" xr3:uid="{1A912C1E-D2C1-41E3-96F2-5990DA56D80A}" name="個人／事業所数" totalsRowFunction="sum" totalsRowDxfId="416" dataCellStyle="桁区切り" totalsRowCellStyle="桁区切り"/>
    <tableColumn id="13" xr3:uid="{96F172A7-797F-421E-B9FC-7986925C199A}" name="個人／構成比" dataDxfId="415"/>
    <tableColumn id="14" xr3:uid="{2CCE3ADD-0253-48CF-A4D1-099893D0AC38}" name="法人／事業所数" totalsRowFunction="sum" totalsRowDxfId="414" dataCellStyle="桁区切り" totalsRowCellStyle="桁区切り"/>
    <tableColumn id="15" xr3:uid="{151D6E1F-2505-4814-B462-862757D3117C}" name="法人／構成比" dataDxfId="413"/>
    <tableColumn id="16" xr3:uid="{998B6252-C12B-47D7-9DBA-4FFA2CBA9FDA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15E14CB5-0DE1-4D7F-8DC6-AE972821B230}" name="M_TABLE_28212" displayName="M_TABLE_28212" ref="B23:I44" totalsRowShown="0">
  <autoFilter ref="B23:I44" xr:uid="{15E14CB5-0DE1-4D7F-8DC6-AE972821B230}"/>
  <tableColumns count="8">
    <tableColumn id="9" xr3:uid="{F3AEFCB2-AFAF-4731-9B8F-3A7275800B9C}" name="産業中分類上位２０"/>
    <tableColumn id="10" xr3:uid="{05F9A8B1-9F1D-4B40-BF38-36BF8111FAE5}" name="総数／事業所数" dataCellStyle="桁区切り"/>
    <tableColumn id="11" xr3:uid="{FE6A221B-CCF8-44A9-9986-6336FA8368F0}" name="総数／構成比" dataDxfId="411"/>
    <tableColumn id="12" xr3:uid="{2CA553A3-DFEF-47C7-AF1C-321A4691060D}" name="個人／事業所数" dataCellStyle="桁区切り"/>
    <tableColumn id="13" xr3:uid="{6E4186EE-07F0-4F7E-9A18-F5E90DBD8262}" name="個人／構成比" dataDxfId="410"/>
    <tableColumn id="14" xr3:uid="{0CE0FAE4-A240-4012-B82B-BBC6BC68E7D3}" name="法人／事業所数" dataCellStyle="桁区切り"/>
    <tableColumn id="15" xr3:uid="{8049D873-667F-4F0E-8004-EA396AD070D5}" name="法人／構成比" dataDxfId="409"/>
    <tableColumn id="16" xr3:uid="{6E7B81AB-0648-411C-AE44-E265D923CFDB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A916B81F-1942-4594-A47A-496A908F78DE}" name="S_TABLE_28212" displayName="S_TABLE_28212" ref="B47:I68" totalsRowShown="0">
  <autoFilter ref="B47:I68" xr:uid="{A916B81F-1942-4594-A47A-496A908F78DE}"/>
  <tableColumns count="8">
    <tableColumn id="9" xr3:uid="{5F4B0AAC-A46B-400D-BEC2-82A335286CD0}" name="産業小分類上位２０"/>
    <tableColumn id="10" xr3:uid="{F0F9B794-9A14-48CF-8443-322D943D5381}" name="総数／事業所数" dataCellStyle="桁区切り"/>
    <tableColumn id="11" xr3:uid="{33A6BECF-2EEE-4464-A2A7-5E86BB3D3750}" name="総数／構成比" dataDxfId="408"/>
    <tableColumn id="12" xr3:uid="{F0F5BF2E-BE68-48C1-9A3A-3D4041CBC43B}" name="個人／事業所数" dataCellStyle="桁区切り"/>
    <tableColumn id="13" xr3:uid="{8FDB361B-DFDF-440E-BA98-C9474C2F0B55}" name="個人／構成比" dataDxfId="407"/>
    <tableColumn id="14" xr3:uid="{87333D8A-C1A8-4CCF-8EA2-64005FAECD53}" name="法人／事業所数" dataCellStyle="桁区切り"/>
    <tableColumn id="15" xr3:uid="{C6E1CDEC-D86C-409B-BCD6-28AA4F6C9101}" name="法人／構成比" dataDxfId="406"/>
    <tableColumn id="16" xr3:uid="{E6698F33-9B96-4EAD-AF58-C0E3BAF03728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C7976AFB-03DB-4469-B005-E53D3699EAB2}" name="LTBL_28213" displayName="LTBL_28213" ref="B4:I20" totalsRowCount="1">
  <autoFilter ref="B4:I19" xr:uid="{C7976AFB-03DB-4469-B005-E53D3699EAB2}"/>
  <tableColumns count="8">
    <tableColumn id="9" xr3:uid="{BDCD79AE-5572-41B7-AB9C-ECD8D029848E}" name="産業大分類" totalsRowLabel="合計" totalsRowDxfId="405"/>
    <tableColumn id="10" xr3:uid="{B02752E4-E5F1-4B2B-B5D1-E84DB0EE12A6}" name="総数／事業所数" totalsRowFunction="custom" totalsRowDxfId="404" dataCellStyle="桁区切り" totalsRowCellStyle="桁区切り">
      <totalsRowFormula>SUM(LTBL_28213[総数／事業所数])</totalsRowFormula>
    </tableColumn>
    <tableColumn id="11" xr3:uid="{C7A83CD2-171D-4AE7-BB28-21DFF347DF6F}" name="総数／構成比" dataDxfId="403"/>
    <tableColumn id="12" xr3:uid="{92A106FC-5065-4618-A906-B3BD9988F27A}" name="個人／事業所数" totalsRowFunction="sum" totalsRowDxfId="402" dataCellStyle="桁区切り" totalsRowCellStyle="桁区切り"/>
    <tableColumn id="13" xr3:uid="{A0789382-91FC-4328-B495-D86026FCB33C}" name="個人／構成比" dataDxfId="401"/>
    <tableColumn id="14" xr3:uid="{763F2CCA-3315-4BC3-98EC-A538D4EF23AF}" name="法人／事業所数" totalsRowFunction="sum" totalsRowDxfId="400" dataCellStyle="桁区切り" totalsRowCellStyle="桁区切り"/>
    <tableColumn id="15" xr3:uid="{00608F1C-D1AB-4F12-B98A-F5ACBD72E2E2}" name="法人／構成比" dataDxfId="399"/>
    <tableColumn id="16" xr3:uid="{B119A505-C3B2-44C4-91F4-DBD34D836BCA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B941D7D-550F-4358-956A-A78F1E4F9A56}" name="M_TABLE_28213" displayName="M_TABLE_28213" ref="B23:I43" totalsRowShown="0">
  <autoFilter ref="B23:I43" xr:uid="{0B941D7D-550F-4358-956A-A78F1E4F9A56}"/>
  <tableColumns count="8">
    <tableColumn id="9" xr3:uid="{18CFF077-4614-4805-AB28-4D6EA08C6B52}" name="産業中分類上位２０"/>
    <tableColumn id="10" xr3:uid="{A8A5AC19-5936-4C1C-A322-91D3950E9AC7}" name="総数／事業所数" dataCellStyle="桁区切り"/>
    <tableColumn id="11" xr3:uid="{CAA0F542-2537-4FC1-A340-DF2C295144BE}" name="総数／構成比" dataDxfId="397"/>
    <tableColumn id="12" xr3:uid="{1E388F8D-D3CC-42CC-9B23-975384809167}" name="個人／事業所数" dataCellStyle="桁区切り"/>
    <tableColumn id="13" xr3:uid="{AF30EFDB-52E5-4256-A4BC-B10BCE657A71}" name="個人／構成比" dataDxfId="396"/>
    <tableColumn id="14" xr3:uid="{F0D908F2-462B-4098-ACCB-A2271CBD6095}" name="法人／事業所数" dataCellStyle="桁区切り"/>
    <tableColumn id="15" xr3:uid="{F6A50623-0C71-4A18-B491-9DA37E89545E}" name="法人／構成比" dataDxfId="395"/>
    <tableColumn id="16" xr3:uid="{32EE3B76-90D8-493D-9DD8-5570DCAB3AF8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B07C24CD-F2DD-4999-B152-98719A8ACE1D}" name="S_TABLE_28213" displayName="S_TABLE_28213" ref="B46:I66" totalsRowShown="0">
  <autoFilter ref="B46:I66" xr:uid="{B07C24CD-F2DD-4999-B152-98719A8ACE1D}"/>
  <tableColumns count="8">
    <tableColumn id="9" xr3:uid="{0678C49E-A5A9-4B09-AE9E-BF6042EAD9AC}" name="産業小分類上位２０"/>
    <tableColumn id="10" xr3:uid="{010ED01E-CF95-4503-BFA3-FC22682E7508}" name="総数／事業所数" dataCellStyle="桁区切り"/>
    <tableColumn id="11" xr3:uid="{F2FC453A-7CC7-4A6C-A698-4AB4D30A87A0}" name="総数／構成比" dataDxfId="394"/>
    <tableColumn id="12" xr3:uid="{43D3CF0F-272E-4EF5-A592-D01A76894CD1}" name="個人／事業所数" dataCellStyle="桁区切り"/>
    <tableColumn id="13" xr3:uid="{19C7361A-7059-4698-91AC-848B8A13B29B}" name="個人／構成比" dataDxfId="393"/>
    <tableColumn id="14" xr3:uid="{47F3784B-4C52-4C4D-B983-E73D551BF2A3}" name="法人／事業所数" dataCellStyle="桁区切り"/>
    <tableColumn id="15" xr3:uid="{118C8361-FB49-4CB5-A4FB-C67CFB1BC212}" name="法人／構成比" dataDxfId="392"/>
    <tableColumn id="16" xr3:uid="{F96821D3-A9C3-4A7D-9ADC-D431DE85A24C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81F789B-E713-4108-A245-E25118D32DD0}" name="LTBL_28101" displayName="LTBL_28101" ref="B4:I20" totalsRowCount="1">
  <autoFilter ref="B4:I19" xr:uid="{781F789B-E713-4108-A245-E25118D32DD0}"/>
  <tableColumns count="8">
    <tableColumn id="9" xr3:uid="{FD9B08B2-3BDA-4673-B20F-D4D3AFAAEE97}" name="産業大分類" totalsRowLabel="合計" totalsRowDxfId="685"/>
    <tableColumn id="10" xr3:uid="{52004582-820C-45ED-9024-E5EC964BD264}" name="総数／事業所数" totalsRowFunction="custom" totalsRowDxfId="684" dataCellStyle="桁区切り" totalsRowCellStyle="桁区切り">
      <totalsRowFormula>SUM(LTBL_28101[総数／事業所数])</totalsRowFormula>
    </tableColumn>
    <tableColumn id="11" xr3:uid="{14E956D1-55F8-40A9-8EF4-4123A1F18959}" name="総数／構成比" dataDxfId="683"/>
    <tableColumn id="12" xr3:uid="{D4777F50-01DE-4508-BF63-D76A3AE569E0}" name="個人／事業所数" totalsRowFunction="sum" totalsRowDxfId="682" dataCellStyle="桁区切り" totalsRowCellStyle="桁区切り"/>
    <tableColumn id="13" xr3:uid="{DF65B618-103B-44E4-AC3A-E861345B2A62}" name="個人／構成比" dataDxfId="681"/>
    <tableColumn id="14" xr3:uid="{AE785370-F061-46D1-9558-C0406F837D8D}" name="法人／事業所数" totalsRowFunction="sum" totalsRowDxfId="680" dataCellStyle="桁区切り" totalsRowCellStyle="桁区切り"/>
    <tableColumn id="15" xr3:uid="{41F4B8FE-1868-4352-A05E-320A8C04359B}" name="法人／構成比" dataDxfId="679"/>
    <tableColumn id="16" xr3:uid="{BAE8DFB9-A330-4089-9154-0DD2C165A9C8}" name="法人以外の団体／事業所数" totalsRowFunction="sum" totalsRowDxfId="678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2CC7C6FC-D891-4674-B8E4-6444BB626D6B}" name="LTBL_28214" displayName="LTBL_28214" ref="B4:I20" totalsRowCount="1">
  <autoFilter ref="B4:I19" xr:uid="{2CC7C6FC-D891-4674-B8E4-6444BB626D6B}"/>
  <tableColumns count="8">
    <tableColumn id="9" xr3:uid="{15D5DDD1-A0A7-4C34-A2E2-7F7F3FFB12E2}" name="産業大分類" totalsRowLabel="合計" totalsRowDxfId="391"/>
    <tableColumn id="10" xr3:uid="{77CCA81F-2249-4602-9FD4-85C440506F9C}" name="総数／事業所数" totalsRowFunction="custom" totalsRowDxfId="390" dataCellStyle="桁区切り" totalsRowCellStyle="桁区切り">
      <totalsRowFormula>SUM(LTBL_28214[総数／事業所数])</totalsRowFormula>
    </tableColumn>
    <tableColumn id="11" xr3:uid="{82358CDE-F46C-4EA9-92DB-B49D155DDD4C}" name="総数／構成比" dataDxfId="389"/>
    <tableColumn id="12" xr3:uid="{240EAC31-7B75-43EC-AD2F-C9845DF43B08}" name="個人／事業所数" totalsRowFunction="sum" totalsRowDxfId="388" dataCellStyle="桁区切り" totalsRowCellStyle="桁区切り"/>
    <tableColumn id="13" xr3:uid="{86C8BF9E-13E9-4359-9193-9132E5438DA2}" name="個人／構成比" dataDxfId="387"/>
    <tableColumn id="14" xr3:uid="{A4C34596-D9BD-45A9-97A0-4428D9E6930B}" name="法人／事業所数" totalsRowFunction="sum" totalsRowDxfId="386" dataCellStyle="桁区切り" totalsRowCellStyle="桁区切り"/>
    <tableColumn id="15" xr3:uid="{9A0649B1-2477-4E31-8B53-EFBB83CB8378}" name="法人／構成比" dataDxfId="385"/>
    <tableColumn id="16" xr3:uid="{20ACD154-0D8A-41E8-BE40-4B3185ACABA3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474CAB-4D4B-4567-B1F3-4EC0657A9103}" name="M_TABLE_28214" displayName="M_TABLE_28214" ref="B23:I43" totalsRowShown="0">
  <autoFilter ref="B23:I43" xr:uid="{00474CAB-4D4B-4567-B1F3-4EC0657A9103}"/>
  <tableColumns count="8">
    <tableColumn id="9" xr3:uid="{F1F639C0-A8D2-4384-9379-326A9E85835D}" name="産業中分類上位２０"/>
    <tableColumn id="10" xr3:uid="{09A80C00-B0E4-45A8-9B14-1ADD4B8F0435}" name="総数／事業所数" dataCellStyle="桁区切り"/>
    <tableColumn id="11" xr3:uid="{AB051FEC-271E-426F-B146-DB1ABB3DBE66}" name="総数／構成比" dataDxfId="383"/>
    <tableColumn id="12" xr3:uid="{5E7A6AFA-FCB4-488F-B0A0-353C40D81702}" name="個人／事業所数" dataCellStyle="桁区切り"/>
    <tableColumn id="13" xr3:uid="{5F59463A-02CB-4AC2-9612-A4914D10D88F}" name="個人／構成比" dataDxfId="382"/>
    <tableColumn id="14" xr3:uid="{FA85542B-50DB-4EC1-9018-CCE459F55A74}" name="法人／事業所数" dataCellStyle="桁区切り"/>
    <tableColumn id="15" xr3:uid="{77A7192D-E31D-495B-81FF-7A73B428F9A2}" name="法人／構成比" dataDxfId="381"/>
    <tableColumn id="16" xr3:uid="{4FFE046E-1289-476B-A558-7CC5C7F99AB3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34BEDCF7-B23C-49B1-A239-94C636043FE4}" name="S_TABLE_28214" displayName="S_TABLE_28214" ref="B46:I66" totalsRowShown="0">
  <autoFilter ref="B46:I66" xr:uid="{34BEDCF7-B23C-49B1-A239-94C636043FE4}"/>
  <tableColumns count="8">
    <tableColumn id="9" xr3:uid="{1D45A6DA-EA3B-4BD7-8F9F-71F7E6F44E20}" name="産業小分類上位２０"/>
    <tableColumn id="10" xr3:uid="{2AB28594-14DB-406A-A987-BBE286E23221}" name="総数／事業所数" dataCellStyle="桁区切り"/>
    <tableColumn id="11" xr3:uid="{8ED8FABB-F494-4D33-9B22-E33C618E537A}" name="総数／構成比" dataDxfId="380"/>
    <tableColumn id="12" xr3:uid="{FBC288D6-E582-483F-B137-CA521BBC083A}" name="個人／事業所数" dataCellStyle="桁区切り"/>
    <tableColumn id="13" xr3:uid="{85261AF2-E693-4311-ACA9-CBFBF24AC956}" name="個人／構成比" dataDxfId="379"/>
    <tableColumn id="14" xr3:uid="{7A4E8E67-DF57-48B8-9A76-22FDF98DFEFE}" name="法人／事業所数" dataCellStyle="桁区切り"/>
    <tableColumn id="15" xr3:uid="{943C511E-9D4C-42E4-9067-A1822A05CB80}" name="法人／構成比" dataDxfId="378"/>
    <tableColumn id="16" xr3:uid="{1617BA5D-8691-4E44-B526-4CC185D7927E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F2B7D7D9-EA9B-4F28-9B5C-123FE7F35F9D}" name="LTBL_28215" displayName="LTBL_28215" ref="B4:I20" totalsRowCount="1">
  <autoFilter ref="B4:I19" xr:uid="{F2B7D7D9-EA9B-4F28-9B5C-123FE7F35F9D}"/>
  <tableColumns count="8">
    <tableColumn id="9" xr3:uid="{9430BAE1-D3B0-4C41-9BA8-A6D041FBC9DD}" name="産業大分類" totalsRowLabel="合計" totalsRowDxfId="377"/>
    <tableColumn id="10" xr3:uid="{289AB881-9A6E-4AD1-9A1F-07F7350DE1ED}" name="総数／事業所数" totalsRowFunction="custom" totalsRowDxfId="376" dataCellStyle="桁区切り" totalsRowCellStyle="桁区切り">
      <totalsRowFormula>SUM(LTBL_28215[総数／事業所数])</totalsRowFormula>
    </tableColumn>
    <tableColumn id="11" xr3:uid="{DEBA3E73-79E5-4751-A2A0-B5B30B954A8E}" name="総数／構成比" dataDxfId="375"/>
    <tableColumn id="12" xr3:uid="{1E52822E-B9E0-4528-92FA-1C48470AD28B}" name="個人／事業所数" totalsRowFunction="sum" totalsRowDxfId="374" dataCellStyle="桁区切り" totalsRowCellStyle="桁区切り"/>
    <tableColumn id="13" xr3:uid="{EDE4C1E4-67A5-4F3F-9EF1-7A4B498F4E77}" name="個人／構成比" dataDxfId="373"/>
    <tableColumn id="14" xr3:uid="{520C5444-B99E-40F6-A658-C78F07254557}" name="法人／事業所数" totalsRowFunction="sum" totalsRowDxfId="372" dataCellStyle="桁区切り" totalsRowCellStyle="桁区切り"/>
    <tableColumn id="15" xr3:uid="{336A725B-ADDE-463B-A3C3-1BE0F9044174}" name="法人／構成比" dataDxfId="371"/>
    <tableColumn id="16" xr3:uid="{0682271A-D055-4ED6-BF32-250249631211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5B337979-4A84-43E6-8777-7618396C3B74}" name="M_TABLE_28215" displayName="M_TABLE_28215" ref="B23:I46" totalsRowShown="0">
  <autoFilter ref="B23:I46" xr:uid="{5B337979-4A84-43E6-8777-7618396C3B74}"/>
  <tableColumns count="8">
    <tableColumn id="9" xr3:uid="{151424BC-FABE-442E-84B6-7FF7BE1B55C2}" name="産業中分類上位２０"/>
    <tableColumn id="10" xr3:uid="{A1BFF3B9-DEE2-4A81-B519-E337ABDA26B9}" name="総数／事業所数" dataCellStyle="桁区切り"/>
    <tableColumn id="11" xr3:uid="{CCC72417-A3AA-4F1F-84FB-A02ABD4C058A}" name="総数／構成比" dataDxfId="369"/>
    <tableColumn id="12" xr3:uid="{3ABFFBBE-C460-4D49-8DFF-3493251F9F76}" name="個人／事業所数" dataCellStyle="桁区切り"/>
    <tableColumn id="13" xr3:uid="{D145E064-1ED7-45CF-A154-0AD17AAFDED2}" name="個人／構成比" dataDxfId="368"/>
    <tableColumn id="14" xr3:uid="{7C885C59-6F4F-4DE2-AF2F-097131B4A861}" name="法人／事業所数" dataCellStyle="桁区切り"/>
    <tableColumn id="15" xr3:uid="{38387D9C-1821-487F-B0A3-2CDFA60816CC}" name="法人／構成比" dataDxfId="367"/>
    <tableColumn id="16" xr3:uid="{CF133CDC-C76C-4B5F-90EF-706388C6F8CC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B457847F-A6BE-40AA-B534-03806F0DCC7E}" name="S_TABLE_28215" displayName="S_TABLE_28215" ref="B49:I70" totalsRowShown="0">
  <autoFilter ref="B49:I70" xr:uid="{B457847F-A6BE-40AA-B534-03806F0DCC7E}"/>
  <tableColumns count="8">
    <tableColumn id="9" xr3:uid="{17B50E6A-E370-4F12-B0AB-ECB3748B7AE9}" name="産業小分類上位２０"/>
    <tableColumn id="10" xr3:uid="{CAA836C6-37AF-4F90-BF23-251613E65561}" name="総数／事業所数" dataCellStyle="桁区切り"/>
    <tableColumn id="11" xr3:uid="{B205E262-5266-4930-B25E-D5F1F18D6435}" name="総数／構成比" dataDxfId="366"/>
    <tableColumn id="12" xr3:uid="{FAAD7359-7B32-442B-9C46-7A2ED289DDFE}" name="個人／事業所数" dataCellStyle="桁区切り"/>
    <tableColumn id="13" xr3:uid="{33986135-5132-4D22-A483-ED1B79E9C228}" name="個人／構成比" dataDxfId="365"/>
    <tableColumn id="14" xr3:uid="{1127F8CA-5115-4B54-A33F-1D451D908540}" name="法人／事業所数" dataCellStyle="桁区切り"/>
    <tableColumn id="15" xr3:uid="{DDB9F7CE-71EC-4EE9-9EE8-F11B8DA8C483}" name="法人／構成比" dataDxfId="364"/>
    <tableColumn id="16" xr3:uid="{60FB2ECF-2771-4F0D-95F5-699F0597A2B7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88ED076-920A-4A43-8D26-E7BCC6840D26}" name="LTBL_28216" displayName="LTBL_28216" ref="B4:I20" totalsRowCount="1">
  <autoFilter ref="B4:I19" xr:uid="{088ED076-920A-4A43-8D26-E7BCC6840D26}"/>
  <tableColumns count="8">
    <tableColumn id="9" xr3:uid="{C5EF33AD-F439-46E7-B2DF-F624C11BF0CF}" name="産業大分類" totalsRowLabel="合計" totalsRowDxfId="363"/>
    <tableColumn id="10" xr3:uid="{E8D0988D-4154-419B-8684-56173E62FD19}" name="総数／事業所数" totalsRowFunction="custom" totalsRowDxfId="362" dataCellStyle="桁区切り" totalsRowCellStyle="桁区切り">
      <totalsRowFormula>SUM(LTBL_28216[総数／事業所数])</totalsRowFormula>
    </tableColumn>
    <tableColumn id="11" xr3:uid="{7C3FB2BF-9E1E-4769-AE5C-6089149E1AF3}" name="総数／構成比" dataDxfId="361"/>
    <tableColumn id="12" xr3:uid="{BA134219-D87E-4661-9BC3-C1BCC294EC17}" name="個人／事業所数" totalsRowFunction="sum" totalsRowDxfId="360" dataCellStyle="桁区切り" totalsRowCellStyle="桁区切り"/>
    <tableColumn id="13" xr3:uid="{659F7E48-4641-4B6A-B578-A8784F37EB51}" name="個人／構成比" dataDxfId="359"/>
    <tableColumn id="14" xr3:uid="{0E8DD616-8DDC-4AD0-9AD3-20632D7E762F}" name="法人／事業所数" totalsRowFunction="sum" totalsRowDxfId="358" dataCellStyle="桁区切り" totalsRowCellStyle="桁区切り"/>
    <tableColumn id="15" xr3:uid="{4B57FD66-FB3F-4453-A043-10F1F521673D}" name="法人／構成比" dataDxfId="357"/>
    <tableColumn id="16" xr3:uid="{CD3C0B29-B085-40F8-BCEC-7439A48B0A94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E4C3DEC0-BC54-4D1B-A7BA-68B2F2ADCA5E}" name="M_TABLE_28216" displayName="M_TABLE_28216" ref="B23:I43" totalsRowShown="0">
  <autoFilter ref="B23:I43" xr:uid="{E4C3DEC0-BC54-4D1B-A7BA-68B2F2ADCA5E}"/>
  <tableColumns count="8">
    <tableColumn id="9" xr3:uid="{3D253608-8E85-434B-9F7D-B562AC7FCFBC}" name="産業中分類上位２０"/>
    <tableColumn id="10" xr3:uid="{E925CA53-99DD-4E0D-9544-F3C1058EA05E}" name="総数／事業所数" dataCellStyle="桁区切り"/>
    <tableColumn id="11" xr3:uid="{F5D3995D-9131-4BCC-A4A9-32425EE593D7}" name="総数／構成比" dataDxfId="355"/>
    <tableColumn id="12" xr3:uid="{F1E3EF16-11A7-4558-B4C7-EF2B9AD1264D}" name="個人／事業所数" dataCellStyle="桁区切り"/>
    <tableColumn id="13" xr3:uid="{C98DDA83-87E7-4E51-A2A9-4F9E3CC66478}" name="個人／構成比" dataDxfId="354"/>
    <tableColumn id="14" xr3:uid="{00AFA92F-D789-4BF5-A525-1874A9AE1DAC}" name="法人／事業所数" dataCellStyle="桁区切り"/>
    <tableColumn id="15" xr3:uid="{128F4902-F3A6-461F-95ED-254AE270BBDA}" name="法人／構成比" dataDxfId="353"/>
    <tableColumn id="16" xr3:uid="{FC63A519-90DA-46B5-947D-387459F90C01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70B3974A-9CA3-42FE-9360-477E0F3B0717}" name="S_TABLE_28216" displayName="S_TABLE_28216" ref="B46:I66" totalsRowShown="0">
  <autoFilter ref="B46:I66" xr:uid="{70B3974A-9CA3-42FE-9360-477E0F3B0717}"/>
  <tableColumns count="8">
    <tableColumn id="9" xr3:uid="{79A8B473-3675-4252-94A3-F2D9F3A373CB}" name="産業小分類上位２０"/>
    <tableColumn id="10" xr3:uid="{6AEB5701-547B-4133-8C57-E287E914FA05}" name="総数／事業所数" dataCellStyle="桁区切り"/>
    <tableColumn id="11" xr3:uid="{2108E834-62DD-4D33-B860-F3BD8AFA9123}" name="総数／構成比" dataDxfId="352"/>
    <tableColumn id="12" xr3:uid="{D487ADE0-6E61-4AA4-9601-CDB1CAACC54D}" name="個人／事業所数" dataCellStyle="桁区切り"/>
    <tableColumn id="13" xr3:uid="{B87C1C9B-8992-47EA-9571-D42848346239}" name="個人／構成比" dataDxfId="351"/>
    <tableColumn id="14" xr3:uid="{B9FE0392-0015-4D77-A8BD-7821287153D7}" name="法人／事業所数" dataCellStyle="桁区切り"/>
    <tableColumn id="15" xr3:uid="{E0A9F0E0-F2D9-4768-894D-66AFCC32964F}" name="法人／構成比" dataDxfId="350"/>
    <tableColumn id="16" xr3:uid="{824498B3-4930-47B4-9E63-B799A799E00F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9C6E7BA0-319F-4E16-9BB1-A3DB9F4E312B}" name="LTBL_28217" displayName="LTBL_28217" ref="B4:I20" totalsRowCount="1">
  <autoFilter ref="B4:I19" xr:uid="{9C6E7BA0-319F-4E16-9BB1-A3DB9F4E312B}"/>
  <tableColumns count="8">
    <tableColumn id="9" xr3:uid="{AD92AEEC-61FF-47E5-B8F6-075DE9E960F7}" name="産業大分類" totalsRowLabel="合計" totalsRowDxfId="349"/>
    <tableColumn id="10" xr3:uid="{DC045F06-F6C1-465B-A335-2687FDCE4709}" name="総数／事業所数" totalsRowFunction="custom" totalsRowDxfId="348" dataCellStyle="桁区切り" totalsRowCellStyle="桁区切り">
      <totalsRowFormula>SUM(LTBL_28217[総数／事業所数])</totalsRowFormula>
    </tableColumn>
    <tableColumn id="11" xr3:uid="{9AC57386-93C4-4063-B241-A705379F98DB}" name="総数／構成比" dataDxfId="347"/>
    <tableColumn id="12" xr3:uid="{1B660FFA-3523-4C0D-94EC-B4CEA77266ED}" name="個人／事業所数" totalsRowFunction="sum" totalsRowDxfId="346" dataCellStyle="桁区切り" totalsRowCellStyle="桁区切り"/>
    <tableColumn id="13" xr3:uid="{CA3BAF7B-F439-48FC-8B00-5E7A9A2BF64A}" name="個人／構成比" dataDxfId="345"/>
    <tableColumn id="14" xr3:uid="{5077C1CA-D694-4BFF-A363-CDB503329B8E}" name="法人／事業所数" totalsRowFunction="sum" totalsRowDxfId="344" dataCellStyle="桁区切り" totalsRowCellStyle="桁区切り"/>
    <tableColumn id="15" xr3:uid="{8C0C2D6A-D3FB-4FEC-98B7-B4D5BCF32561}" name="法人／構成比" dataDxfId="343"/>
    <tableColumn id="16" xr3:uid="{29F2E58E-3F4A-4ED7-A526-313E0B19FB87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D72F894-916C-4839-84C7-A5B3DD441FCD}" name="M_TABLE_28101" displayName="M_TABLE_28101" ref="B23:I43" totalsRowShown="0">
  <autoFilter ref="B23:I43" xr:uid="{1D72F894-916C-4839-84C7-A5B3DD441FCD}"/>
  <tableColumns count="8">
    <tableColumn id="9" xr3:uid="{65BD95E9-0324-40EA-9A63-4623344ADB9B}" name="産業中分類上位２０"/>
    <tableColumn id="10" xr3:uid="{EDCC5508-7C33-45D3-BAE0-E56B18F55A24}" name="総数／事業所数" dataCellStyle="桁区切り"/>
    <tableColumn id="11" xr3:uid="{D906DFC4-4DC6-423E-88F2-69BEF5056605}" name="総数／構成比" dataDxfId="677"/>
    <tableColumn id="12" xr3:uid="{35418A1E-0C6E-42A8-86F2-4AF6F903CC38}" name="個人／事業所数" dataCellStyle="桁区切り"/>
    <tableColumn id="13" xr3:uid="{EA0A7763-84F5-42E7-9C20-CF5968D714D7}" name="個人／構成比" dataDxfId="676"/>
    <tableColumn id="14" xr3:uid="{F586C006-099B-4502-94E8-C76E7D34D17C}" name="法人／事業所数" dataCellStyle="桁区切り"/>
    <tableColumn id="15" xr3:uid="{7A07A912-AA53-4B56-9F05-C22B59626D29}" name="法人／構成比" dataDxfId="675"/>
    <tableColumn id="16" xr3:uid="{943D0C54-956D-44CF-B3C1-14B0B3AED14F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7742AFFE-A0B6-4D35-90ED-99C5E897487F}" name="M_TABLE_28217" displayName="M_TABLE_28217" ref="B23:I43" totalsRowShown="0">
  <autoFilter ref="B23:I43" xr:uid="{7742AFFE-A0B6-4D35-90ED-99C5E897487F}"/>
  <tableColumns count="8">
    <tableColumn id="9" xr3:uid="{52D953CD-2F56-4418-BCBB-CA30CFDF07E6}" name="産業中分類上位２０"/>
    <tableColumn id="10" xr3:uid="{4E821148-FAF8-4D20-887B-DE8E0A807FED}" name="総数／事業所数" dataCellStyle="桁区切り"/>
    <tableColumn id="11" xr3:uid="{32BD2AEE-247C-4C26-9D5A-4CD1CEB44DB6}" name="総数／構成比" dataDxfId="341"/>
    <tableColumn id="12" xr3:uid="{46243B1F-5283-4FCA-AF1B-2C3EB73579A3}" name="個人／事業所数" dataCellStyle="桁区切り"/>
    <tableColumn id="13" xr3:uid="{F3319D84-8EB0-44AE-8028-74C7C1AF655E}" name="個人／構成比" dataDxfId="340"/>
    <tableColumn id="14" xr3:uid="{37253F64-9420-4A28-A7F0-F78EB7030227}" name="法人／事業所数" dataCellStyle="桁区切り"/>
    <tableColumn id="15" xr3:uid="{ED010F64-0ADB-4A07-B35F-EC970E8D633C}" name="法人／構成比" dataDxfId="339"/>
    <tableColumn id="16" xr3:uid="{360C29D6-D43F-4FA7-8279-65C51126AAF6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7E606879-343C-45C7-A6EC-1A99B016BAC5}" name="S_TABLE_28217" displayName="S_TABLE_28217" ref="B46:I66" totalsRowShown="0">
  <autoFilter ref="B46:I66" xr:uid="{7E606879-343C-45C7-A6EC-1A99B016BAC5}"/>
  <tableColumns count="8">
    <tableColumn id="9" xr3:uid="{5D5F86A0-ECF8-4985-ABA6-E1F0156F345E}" name="産業小分類上位２０"/>
    <tableColumn id="10" xr3:uid="{6A02848A-72EA-40EF-95A8-60E73512335D}" name="総数／事業所数" dataCellStyle="桁区切り"/>
    <tableColumn id="11" xr3:uid="{DB158481-C4E2-401F-AB03-3988E8F38E1E}" name="総数／構成比" dataDxfId="338"/>
    <tableColumn id="12" xr3:uid="{514A4CFF-5493-4C40-9F50-BF2E6CA7CF9B}" name="個人／事業所数" dataCellStyle="桁区切り"/>
    <tableColumn id="13" xr3:uid="{04F798D3-D2CE-433F-8B2D-FD1D0549C20C}" name="個人／構成比" dataDxfId="337"/>
    <tableColumn id="14" xr3:uid="{E40F89B3-5411-457D-9859-38D45E0610A1}" name="法人／事業所数" dataCellStyle="桁区切り"/>
    <tableColumn id="15" xr3:uid="{69FB87AF-EECE-4355-8112-E2E28922BC15}" name="法人／構成比" dataDxfId="336"/>
    <tableColumn id="16" xr3:uid="{1283F32B-0B57-4DAD-BE67-9987334F10F6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4F101641-5C93-40CA-9782-2B5F55755A68}" name="LTBL_28218" displayName="LTBL_28218" ref="B4:I20" totalsRowCount="1">
  <autoFilter ref="B4:I19" xr:uid="{4F101641-5C93-40CA-9782-2B5F55755A68}"/>
  <tableColumns count="8">
    <tableColumn id="9" xr3:uid="{74CC7624-7851-4A9E-A071-B26564931A9C}" name="産業大分類" totalsRowLabel="合計" totalsRowDxfId="335"/>
    <tableColumn id="10" xr3:uid="{B0EF6900-FF53-423C-9B56-A0D620D44F72}" name="総数／事業所数" totalsRowFunction="custom" totalsRowDxfId="334" dataCellStyle="桁区切り" totalsRowCellStyle="桁区切り">
      <totalsRowFormula>SUM(LTBL_28218[総数／事業所数])</totalsRowFormula>
    </tableColumn>
    <tableColumn id="11" xr3:uid="{1D52E857-77CD-40FA-A4D5-10F32FFDE9BB}" name="総数／構成比" dataDxfId="333"/>
    <tableColumn id="12" xr3:uid="{B321EAEC-2F5C-4A47-9545-D0E814F090F1}" name="個人／事業所数" totalsRowFunction="sum" totalsRowDxfId="332" dataCellStyle="桁区切り" totalsRowCellStyle="桁区切り"/>
    <tableColumn id="13" xr3:uid="{38D80715-6828-40D1-A177-30DE5EB37F24}" name="個人／構成比" dataDxfId="331"/>
    <tableColumn id="14" xr3:uid="{74322BDD-E709-4DA1-9E69-E0D04B618C8B}" name="法人／事業所数" totalsRowFunction="sum" totalsRowDxfId="330" dataCellStyle="桁区切り" totalsRowCellStyle="桁区切り"/>
    <tableColumn id="15" xr3:uid="{8CF3E19E-AB46-48E5-AEC7-BA896E134858}" name="法人／構成比" dataDxfId="329"/>
    <tableColumn id="16" xr3:uid="{757A2EE6-0AB7-4EC9-9976-86FC026E389F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2EE9617A-4BAD-4D36-8349-32C7E60DAC73}" name="M_TABLE_28218" displayName="M_TABLE_28218" ref="B23:I43" totalsRowShown="0">
  <autoFilter ref="B23:I43" xr:uid="{2EE9617A-4BAD-4D36-8349-32C7E60DAC73}"/>
  <tableColumns count="8">
    <tableColumn id="9" xr3:uid="{E2F93A8C-D2ED-4563-AB6F-EE3D6F6B8D69}" name="産業中分類上位２０"/>
    <tableColumn id="10" xr3:uid="{C277F0D5-C438-41E7-8D70-2E40E0B9FEE2}" name="総数／事業所数" dataCellStyle="桁区切り"/>
    <tableColumn id="11" xr3:uid="{196E9F82-FF00-47AE-94DE-4B9CFE5F7CD7}" name="総数／構成比" dataDxfId="327"/>
    <tableColumn id="12" xr3:uid="{C4080D66-2A0B-4629-9B34-9149C6F77759}" name="個人／事業所数" dataCellStyle="桁区切り"/>
    <tableColumn id="13" xr3:uid="{15F0477C-28B0-4DD9-A732-42917D212D7D}" name="個人／構成比" dataDxfId="326"/>
    <tableColumn id="14" xr3:uid="{F562171D-5261-4C46-82BF-108E67F79D0B}" name="法人／事業所数" dataCellStyle="桁区切り"/>
    <tableColumn id="15" xr3:uid="{BF172DC6-EB8C-4D65-912B-9141736D3784}" name="法人／構成比" dataDxfId="325"/>
    <tableColumn id="16" xr3:uid="{ADBE8515-A939-4585-B018-0BFF16AE7832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563CF612-6426-4272-B5C6-CBE1E76471FD}" name="S_TABLE_28218" displayName="S_TABLE_28218" ref="B46:I67" totalsRowShown="0">
  <autoFilter ref="B46:I67" xr:uid="{563CF612-6426-4272-B5C6-CBE1E76471FD}"/>
  <tableColumns count="8">
    <tableColumn id="9" xr3:uid="{EBFEAE30-BDFC-4618-8C27-1B8DC6EF3166}" name="産業小分類上位２０"/>
    <tableColumn id="10" xr3:uid="{0EB102DD-5EF5-402D-9835-CE4B789FB210}" name="総数／事業所数" dataCellStyle="桁区切り"/>
    <tableColumn id="11" xr3:uid="{70338B94-8079-46DE-913A-4A0159EC8941}" name="総数／構成比" dataDxfId="324"/>
    <tableColumn id="12" xr3:uid="{42687492-DD6F-4CBC-8080-A2A6A2A05428}" name="個人／事業所数" dataCellStyle="桁区切り"/>
    <tableColumn id="13" xr3:uid="{7889B7FE-F750-48F2-97D1-2C8614AB5A67}" name="個人／構成比" dataDxfId="323"/>
    <tableColumn id="14" xr3:uid="{878C7951-9476-45A3-B774-89196E30AEA0}" name="法人／事業所数" dataCellStyle="桁区切り"/>
    <tableColumn id="15" xr3:uid="{134E979D-1350-4CAD-BFAB-CE92BE293B24}" name="法人／構成比" dataDxfId="322"/>
    <tableColumn id="16" xr3:uid="{E087EDCE-420E-4C75-B811-E156E2E3C081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B9E51C8F-A01E-43E2-AA07-52FEDBD0D6B4}" name="LTBL_28219" displayName="LTBL_28219" ref="B4:I20" totalsRowCount="1">
  <autoFilter ref="B4:I19" xr:uid="{B9E51C8F-A01E-43E2-AA07-52FEDBD0D6B4}"/>
  <tableColumns count="8">
    <tableColumn id="9" xr3:uid="{A62E8291-10A9-47BF-896D-A5BBF6D5E68A}" name="産業大分類" totalsRowLabel="合計" totalsRowDxfId="321"/>
    <tableColumn id="10" xr3:uid="{0C8AA0D7-C6D5-433C-B6BA-0CF28896DE38}" name="総数／事業所数" totalsRowFunction="custom" totalsRowDxfId="320" dataCellStyle="桁区切り" totalsRowCellStyle="桁区切り">
      <totalsRowFormula>SUM(LTBL_28219[総数／事業所数])</totalsRowFormula>
    </tableColumn>
    <tableColumn id="11" xr3:uid="{4A193BFA-4EBD-4C57-8607-D9F3A6048CE8}" name="総数／構成比" dataDxfId="319"/>
    <tableColumn id="12" xr3:uid="{1A7265FC-5E32-402D-B9EA-B5EDA41935F2}" name="個人／事業所数" totalsRowFunction="sum" totalsRowDxfId="318" dataCellStyle="桁区切り" totalsRowCellStyle="桁区切り"/>
    <tableColumn id="13" xr3:uid="{20EE4A79-A0DF-4062-A72D-5BF657346790}" name="個人／構成比" dataDxfId="317"/>
    <tableColumn id="14" xr3:uid="{712A3C09-2778-4361-A4D4-9A08A6717B5E}" name="法人／事業所数" totalsRowFunction="sum" totalsRowDxfId="316" dataCellStyle="桁区切り" totalsRowCellStyle="桁区切り"/>
    <tableColumn id="15" xr3:uid="{5F72B7A0-E5C6-43A1-9871-8CAFB49AA2F0}" name="法人／構成比" dataDxfId="315"/>
    <tableColumn id="16" xr3:uid="{BAFD3AD3-324C-467F-8FB1-4955C14B0813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6D5CC3E9-A57E-4416-B660-A778A8D90FD3}" name="M_TABLE_28219" displayName="M_TABLE_28219" ref="B23:I43" totalsRowShown="0">
  <autoFilter ref="B23:I43" xr:uid="{6D5CC3E9-A57E-4416-B660-A778A8D90FD3}"/>
  <tableColumns count="8">
    <tableColumn id="9" xr3:uid="{913A1DF4-58EF-4992-8289-D3EBE764562A}" name="産業中分類上位２０"/>
    <tableColumn id="10" xr3:uid="{E132A0B5-299C-40BB-8C02-7F92AB7E9B56}" name="総数／事業所数" dataCellStyle="桁区切り"/>
    <tableColumn id="11" xr3:uid="{2C9C26E5-6F7D-4359-80DF-B6E4790C2372}" name="総数／構成比" dataDxfId="313"/>
    <tableColumn id="12" xr3:uid="{3D01DC06-531F-4B40-9F2B-177B1F99B61A}" name="個人／事業所数" dataCellStyle="桁区切り"/>
    <tableColumn id="13" xr3:uid="{B73AFD81-79C0-48C6-A007-A7DF79018D72}" name="個人／構成比" dataDxfId="312"/>
    <tableColumn id="14" xr3:uid="{C390F582-CEFF-412E-8D55-9EEB12B857A7}" name="法人／事業所数" dataCellStyle="桁区切り"/>
    <tableColumn id="15" xr3:uid="{ECE63D7F-6B03-4E6E-A02B-ADF65902E772}" name="法人／構成比" dataDxfId="311"/>
    <tableColumn id="16" xr3:uid="{47D4813B-74BD-4582-99EA-0DDFFC685767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AF81BFE5-3C2C-4E0A-9B89-9901331ACF0F}" name="S_TABLE_28219" displayName="S_TABLE_28219" ref="B46:I66" totalsRowShown="0">
  <autoFilter ref="B46:I66" xr:uid="{AF81BFE5-3C2C-4E0A-9B89-9901331ACF0F}"/>
  <tableColumns count="8">
    <tableColumn id="9" xr3:uid="{A0C5E62B-1B0F-45FB-980B-5D6C4CBEF8C1}" name="産業小分類上位２０"/>
    <tableColumn id="10" xr3:uid="{B237F315-CED2-43B8-BA41-E1D5AD21AE2B}" name="総数／事業所数" dataCellStyle="桁区切り"/>
    <tableColumn id="11" xr3:uid="{0D965B91-9C0A-4500-B995-5EC67D6F9B13}" name="総数／構成比" dataDxfId="310"/>
    <tableColumn id="12" xr3:uid="{492CE038-5D6E-44C8-AD29-33D30C4D540E}" name="個人／事業所数" dataCellStyle="桁区切り"/>
    <tableColumn id="13" xr3:uid="{E55DD976-12A9-49BC-B09A-BA31D1F3BFC6}" name="個人／構成比" dataDxfId="309"/>
    <tableColumn id="14" xr3:uid="{46527133-B4CD-4EE0-9843-2BE836C83FA0}" name="法人／事業所数" dataCellStyle="桁区切り"/>
    <tableColumn id="15" xr3:uid="{2BB2EEB1-A3A5-485F-8C7D-7C9795B0FF60}" name="法人／構成比" dataDxfId="308"/>
    <tableColumn id="16" xr3:uid="{D477E1C8-DD0E-453C-B6A5-C0B300DE7607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D3ECE63A-D074-4308-A26A-077BA756FA10}" name="LTBL_28220" displayName="LTBL_28220" ref="B4:I20" totalsRowCount="1">
  <autoFilter ref="B4:I19" xr:uid="{D3ECE63A-D074-4308-A26A-077BA756FA10}"/>
  <tableColumns count="8">
    <tableColumn id="9" xr3:uid="{55981AF3-6511-45BA-96EF-FBD62412230C}" name="産業大分類" totalsRowLabel="合計" totalsRowDxfId="307"/>
    <tableColumn id="10" xr3:uid="{3DA5A5C9-73E8-4828-A772-2AD269706812}" name="総数／事業所数" totalsRowFunction="custom" totalsRowDxfId="306" dataCellStyle="桁区切り" totalsRowCellStyle="桁区切り">
      <totalsRowFormula>SUM(LTBL_28220[総数／事業所数])</totalsRowFormula>
    </tableColumn>
    <tableColumn id="11" xr3:uid="{39AC163D-621E-4C7A-B3D6-5EA55483D474}" name="総数／構成比" dataDxfId="305"/>
    <tableColumn id="12" xr3:uid="{7417771A-1063-46F0-AD83-1F49EAAD42AF}" name="個人／事業所数" totalsRowFunction="sum" totalsRowDxfId="304" dataCellStyle="桁区切り" totalsRowCellStyle="桁区切り"/>
    <tableColumn id="13" xr3:uid="{8AA34904-1FE7-4927-B646-AE4C59B26D6B}" name="個人／構成比" dataDxfId="303"/>
    <tableColumn id="14" xr3:uid="{51D22EA4-9781-4815-A118-AE14B3C17B2F}" name="法人／事業所数" totalsRowFunction="sum" totalsRowDxfId="302" dataCellStyle="桁区切り" totalsRowCellStyle="桁区切り"/>
    <tableColumn id="15" xr3:uid="{606E11F7-E1C5-47E1-968B-6F1CC62F5A2A}" name="法人／構成比" dataDxfId="301"/>
    <tableColumn id="16" xr3:uid="{D8E36395-9F10-4D38-BA41-BE3A466F252A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E0808A81-5866-4058-9E2C-07689E2D6F61}" name="M_TABLE_28220" displayName="M_TABLE_28220" ref="B23:I43" totalsRowShown="0">
  <autoFilter ref="B23:I43" xr:uid="{E0808A81-5866-4058-9E2C-07689E2D6F61}"/>
  <tableColumns count="8">
    <tableColumn id="9" xr3:uid="{0652B2F1-449B-49F2-A64E-E0DC74DC0C73}" name="産業中分類上位２０"/>
    <tableColumn id="10" xr3:uid="{E7BFC9B1-0E36-4836-9145-D75592F7C61D}" name="総数／事業所数" dataCellStyle="桁区切り"/>
    <tableColumn id="11" xr3:uid="{7D2DE2E5-45A3-4575-A75F-71C7E77480F3}" name="総数／構成比" dataDxfId="299"/>
    <tableColumn id="12" xr3:uid="{11993CDD-6D1A-4894-A97B-D6CBB03C07A9}" name="個人／事業所数" dataCellStyle="桁区切り"/>
    <tableColumn id="13" xr3:uid="{9419A166-0D19-4FE6-940F-8341997EEF79}" name="個人／構成比" dataDxfId="298"/>
    <tableColumn id="14" xr3:uid="{E70B7EAF-FF1F-4108-96CF-512CDB0649EC}" name="法人／事業所数" dataCellStyle="桁区切り"/>
    <tableColumn id="15" xr3:uid="{FBB4D918-09A5-4527-8D83-98E5BF0531BF}" name="法人／構成比" dataDxfId="297"/>
    <tableColumn id="16" xr3:uid="{3728F944-EABB-4BC2-B833-F715D889B378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2EA6543-60EF-4123-BF58-4B8F2E87E26C}" name="S_TABLE_28101" displayName="S_TABLE_28101" ref="B46:I66" totalsRowShown="0">
  <autoFilter ref="B46:I66" xr:uid="{F2EA6543-60EF-4123-BF58-4B8F2E87E26C}"/>
  <tableColumns count="8">
    <tableColumn id="9" xr3:uid="{253D20BB-6FDC-4409-B507-9B6606B43F6B}" name="産業小分類上位２０"/>
    <tableColumn id="10" xr3:uid="{B4EF235E-1E7A-434B-B69A-160EFF888EB2}" name="総数／事業所数" dataCellStyle="桁区切り"/>
    <tableColumn id="11" xr3:uid="{249EE784-3D1E-4E49-BB53-67C88DEE246D}" name="総数／構成比" dataDxfId="674"/>
    <tableColumn id="12" xr3:uid="{AA113F51-F5CD-4F2C-BA0C-DE11E0C14E52}" name="個人／事業所数" dataCellStyle="桁区切り"/>
    <tableColumn id="13" xr3:uid="{4A226E2B-4F71-4682-841C-A6BEA9D99DEB}" name="個人／構成比" dataDxfId="673"/>
    <tableColumn id="14" xr3:uid="{C48BB469-4CF9-4EF5-896E-EAB800AD9F8C}" name="法人／事業所数" dataCellStyle="桁区切り"/>
    <tableColumn id="15" xr3:uid="{1A2E2565-F52F-4FB1-97C5-2E1A74A0F78C}" name="法人／構成比" dataDxfId="672"/>
    <tableColumn id="16" xr3:uid="{EC816571-9D77-40B7-97B4-9A3807D61938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49F7CB96-3F17-40D2-845E-879FEA15CFB0}" name="S_TABLE_28220" displayName="S_TABLE_28220" ref="B46:I66" totalsRowShown="0">
  <autoFilter ref="B46:I66" xr:uid="{49F7CB96-3F17-40D2-845E-879FEA15CFB0}"/>
  <tableColumns count="8">
    <tableColumn id="9" xr3:uid="{500A7846-47D6-420C-B2B2-B1C041ABDD06}" name="産業小分類上位２０"/>
    <tableColumn id="10" xr3:uid="{38AE2478-C944-4A9A-8D3A-920EE331FB0E}" name="総数／事業所数" dataCellStyle="桁区切り"/>
    <tableColumn id="11" xr3:uid="{359CB007-DD87-498F-BB82-722834F8D0AD}" name="総数／構成比" dataDxfId="296"/>
    <tableColumn id="12" xr3:uid="{30CED112-6793-460C-A8E4-F5C70CC1E5C1}" name="個人／事業所数" dataCellStyle="桁区切り"/>
    <tableColumn id="13" xr3:uid="{D49EA239-1F0E-4917-A5D4-8969C615C2F8}" name="個人／構成比" dataDxfId="295"/>
    <tableColumn id="14" xr3:uid="{2EF17680-EF38-412C-A503-0FD2178A3A76}" name="法人／事業所数" dataCellStyle="桁区切り"/>
    <tableColumn id="15" xr3:uid="{6E3526F8-D9B3-4C82-A3CE-75545E6B55B6}" name="法人／構成比" dataDxfId="294"/>
    <tableColumn id="16" xr3:uid="{C64AAD0E-6D42-4B2B-A1A5-924B429F70C7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8A9E2A3-E63A-4766-8AE3-805FEAD11803}" name="LTBL_28221" displayName="LTBL_28221" ref="B4:I20" totalsRowCount="1">
  <autoFilter ref="B4:I19" xr:uid="{08A9E2A3-E63A-4766-8AE3-805FEAD11803}"/>
  <tableColumns count="8">
    <tableColumn id="9" xr3:uid="{0362DA9C-E6A8-4A17-AD8C-A3BF5A0C99D7}" name="産業大分類" totalsRowLabel="合計" totalsRowDxfId="293"/>
    <tableColumn id="10" xr3:uid="{5221B204-0A27-4A87-9DF2-FE49F66BA86A}" name="総数／事業所数" totalsRowFunction="custom" totalsRowDxfId="292" dataCellStyle="桁区切り" totalsRowCellStyle="桁区切り">
      <totalsRowFormula>SUM(LTBL_28221[総数／事業所数])</totalsRowFormula>
    </tableColumn>
    <tableColumn id="11" xr3:uid="{74C9C1CD-A16F-40AF-8558-A8FE156FFDA0}" name="総数／構成比" dataDxfId="291"/>
    <tableColumn id="12" xr3:uid="{5C905571-1EBE-4BFB-80FC-C1E5FC5BCA95}" name="個人／事業所数" totalsRowFunction="sum" totalsRowDxfId="290" dataCellStyle="桁区切り" totalsRowCellStyle="桁区切り"/>
    <tableColumn id="13" xr3:uid="{B45B1E06-C8D1-4D14-B284-FC9505E230CB}" name="個人／構成比" dataDxfId="289"/>
    <tableColumn id="14" xr3:uid="{56B9DF84-AEE4-4D57-8835-2F43D5141421}" name="法人／事業所数" totalsRowFunction="sum" totalsRowDxfId="288" dataCellStyle="桁区切り" totalsRowCellStyle="桁区切り"/>
    <tableColumn id="15" xr3:uid="{A7C7E2D3-8216-442E-AEFF-681BC74ACF61}" name="法人／構成比" dataDxfId="287"/>
    <tableColumn id="16" xr3:uid="{C752D84A-E64A-4B18-AEDF-84A59BF1E00A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A2CB96E2-B32E-4295-AA93-2D7E53DFC9C7}" name="M_TABLE_28221" displayName="M_TABLE_28221" ref="B23:I44" totalsRowShown="0">
  <autoFilter ref="B23:I44" xr:uid="{A2CB96E2-B32E-4295-AA93-2D7E53DFC9C7}"/>
  <tableColumns count="8">
    <tableColumn id="9" xr3:uid="{D06D98F1-3341-4925-ACDB-E77D1EC5B079}" name="産業中分類上位２０"/>
    <tableColumn id="10" xr3:uid="{5A339D15-D041-43AE-B7F3-5EB7C0B8CF9B}" name="総数／事業所数" dataCellStyle="桁区切り"/>
    <tableColumn id="11" xr3:uid="{482B2A32-87F3-4F63-9D67-BC4D6A651A16}" name="総数／構成比" dataDxfId="285"/>
    <tableColumn id="12" xr3:uid="{C729C17B-B71F-48DD-8FC2-49129A760822}" name="個人／事業所数" dataCellStyle="桁区切り"/>
    <tableColumn id="13" xr3:uid="{4D234D69-C6FA-47C3-86FA-972BAAF3C880}" name="個人／構成比" dataDxfId="284"/>
    <tableColumn id="14" xr3:uid="{8F80FD33-45AE-4C03-8260-AFF80CA5C599}" name="法人／事業所数" dataCellStyle="桁区切り"/>
    <tableColumn id="15" xr3:uid="{2E25274C-D02D-41BD-A8A0-76C8EEAC9F2B}" name="法人／構成比" dataDxfId="283"/>
    <tableColumn id="16" xr3:uid="{3BEBAC93-116B-48B7-B1D6-95B5609BC9A0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FC552B54-47FF-41EB-B1BD-5FF3435F6D90}" name="S_TABLE_28221" displayName="S_TABLE_28221" ref="B47:I70" totalsRowShown="0">
  <autoFilter ref="B47:I70" xr:uid="{FC552B54-47FF-41EB-B1BD-5FF3435F6D90}"/>
  <tableColumns count="8">
    <tableColumn id="9" xr3:uid="{94828E84-963C-4BAD-8908-4D4D4C0920C4}" name="産業小分類上位２０"/>
    <tableColumn id="10" xr3:uid="{16BEFD4E-D641-4834-8015-405E1480B460}" name="総数／事業所数" dataCellStyle="桁区切り"/>
    <tableColumn id="11" xr3:uid="{58364875-1028-4717-B1BF-E0E7AA488FD2}" name="総数／構成比" dataDxfId="282"/>
    <tableColumn id="12" xr3:uid="{A3731802-3E39-4B2F-8AEB-927F831D0CBB}" name="個人／事業所数" dataCellStyle="桁区切り"/>
    <tableColumn id="13" xr3:uid="{C1B6D1C5-7032-495F-B8A2-62FAE4459FC4}" name="個人／構成比" dataDxfId="281"/>
    <tableColumn id="14" xr3:uid="{B3311CA4-441A-4BB3-A9BA-46E79EE2F8BA}" name="法人／事業所数" dataCellStyle="桁区切り"/>
    <tableColumn id="15" xr3:uid="{ACDFB9D9-04C1-4902-985B-D828DA60CB9E}" name="法人／構成比" dataDxfId="280"/>
    <tableColumn id="16" xr3:uid="{52B41A7B-90B9-42C9-8637-653827D979E1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4E84E520-5174-4296-A8A0-BE3037983527}" name="LTBL_28222" displayName="LTBL_28222" ref="B4:I20" totalsRowCount="1">
  <autoFilter ref="B4:I19" xr:uid="{4E84E520-5174-4296-A8A0-BE3037983527}"/>
  <tableColumns count="8">
    <tableColumn id="9" xr3:uid="{34DB6172-601A-4345-A595-E648977F2A02}" name="産業大分類" totalsRowLabel="合計" totalsRowDxfId="279"/>
    <tableColumn id="10" xr3:uid="{ED555B50-4DDA-402D-8E07-71AFC8BCB7E4}" name="総数／事業所数" totalsRowFunction="custom" totalsRowDxfId="278" dataCellStyle="桁区切り" totalsRowCellStyle="桁区切り">
      <totalsRowFormula>SUM(LTBL_28222[総数／事業所数])</totalsRowFormula>
    </tableColumn>
    <tableColumn id="11" xr3:uid="{DD8AB027-65AD-4E04-9650-80EB7311A51B}" name="総数／構成比" dataDxfId="277"/>
    <tableColumn id="12" xr3:uid="{BE60BDEA-7CFC-46E8-806B-50307C4CFE58}" name="個人／事業所数" totalsRowFunction="sum" totalsRowDxfId="276" dataCellStyle="桁区切り" totalsRowCellStyle="桁区切り"/>
    <tableColumn id="13" xr3:uid="{F2F09CE9-DBC9-49FA-82FE-363DC62F2A20}" name="個人／構成比" dataDxfId="275"/>
    <tableColumn id="14" xr3:uid="{A8FEAEDD-EDBC-44E9-B2ED-B49F5AB93990}" name="法人／事業所数" totalsRowFunction="sum" totalsRowDxfId="274" dataCellStyle="桁区切り" totalsRowCellStyle="桁区切り"/>
    <tableColumn id="15" xr3:uid="{2EFD0C15-C2F5-4E92-8B83-53F737DEACF3}" name="法人／構成比" dataDxfId="273"/>
    <tableColumn id="16" xr3:uid="{56CA9513-C310-4D55-AEF0-AC9D266043C2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3DC99134-3B93-4C04-8CB1-B0E28C28979D}" name="M_TABLE_28222" displayName="M_TABLE_28222" ref="B23:I43" totalsRowShown="0">
  <autoFilter ref="B23:I43" xr:uid="{3DC99134-3B93-4C04-8CB1-B0E28C28979D}"/>
  <tableColumns count="8">
    <tableColumn id="9" xr3:uid="{AEDAE0AC-DD3B-45BF-90EA-C6322B31364D}" name="産業中分類上位２０"/>
    <tableColumn id="10" xr3:uid="{284A6383-3D96-4A23-9A58-809155735001}" name="総数／事業所数" dataCellStyle="桁区切り"/>
    <tableColumn id="11" xr3:uid="{3C3337BF-0FB2-4BFA-BAB3-4C904CFDDFE5}" name="総数／構成比" dataDxfId="271"/>
    <tableColumn id="12" xr3:uid="{E8B815D3-C0AF-4585-91FA-0AD3EC69478E}" name="個人／事業所数" dataCellStyle="桁区切り"/>
    <tableColumn id="13" xr3:uid="{697D6D5A-588D-42D6-B41E-BE4734A3DEA9}" name="個人／構成比" dataDxfId="270"/>
    <tableColumn id="14" xr3:uid="{51697321-03CF-46E0-9570-6A4C7D9A36DD}" name="法人／事業所数" dataCellStyle="桁区切り"/>
    <tableColumn id="15" xr3:uid="{DE6B48E5-CBB8-4085-A94A-C6AACC97C88E}" name="法人／構成比" dataDxfId="269"/>
    <tableColumn id="16" xr3:uid="{AA2C81DE-D517-4F67-8C9D-82D90C750943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4CD34139-E495-4E56-9A31-D875C9840CEE}" name="S_TABLE_28222" displayName="S_TABLE_28222" ref="B46:I69" totalsRowShown="0">
  <autoFilter ref="B46:I69" xr:uid="{4CD34139-E495-4E56-9A31-D875C9840CEE}"/>
  <tableColumns count="8">
    <tableColumn id="9" xr3:uid="{5C2077DD-3C82-4CEF-91DD-98B040A8F65E}" name="産業小分類上位２０"/>
    <tableColumn id="10" xr3:uid="{9EEFA48E-A4A9-4250-BF8B-DFD391F6C5BA}" name="総数／事業所数" dataCellStyle="桁区切り"/>
    <tableColumn id="11" xr3:uid="{F1542310-ED42-4BC3-B66D-8FD0F3F6CADB}" name="総数／構成比" dataDxfId="268"/>
    <tableColumn id="12" xr3:uid="{0FB228D0-7A9B-4474-BDA1-4DB22DB0F0E6}" name="個人／事業所数" dataCellStyle="桁区切り"/>
    <tableColumn id="13" xr3:uid="{BF6C2E7A-3D3B-41D2-9216-3D477929732B}" name="個人／構成比" dataDxfId="267"/>
    <tableColumn id="14" xr3:uid="{56E407B2-335D-45C0-B9D4-33A47D87681B}" name="法人／事業所数" dataCellStyle="桁区切り"/>
    <tableColumn id="15" xr3:uid="{BE055860-2F13-4543-B2A0-D290F63C8EC7}" name="法人／構成比" dataDxfId="266"/>
    <tableColumn id="16" xr3:uid="{709B7284-D56E-480B-91E3-B02E7C6BFE2D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849097C-7904-4FDD-9918-76A4964CE689}" name="LTBL_28223" displayName="LTBL_28223" ref="B4:I20" totalsRowCount="1">
  <autoFilter ref="B4:I19" xr:uid="{0849097C-7904-4FDD-9918-76A4964CE689}"/>
  <tableColumns count="8">
    <tableColumn id="9" xr3:uid="{F4CEDF57-6077-4AEA-AD91-A43C1255B168}" name="産業大分類" totalsRowLabel="合計" totalsRowDxfId="265"/>
    <tableColumn id="10" xr3:uid="{7F559958-5B8E-4424-8651-71BDE36EAB6D}" name="総数／事業所数" totalsRowFunction="custom" totalsRowDxfId="264" dataCellStyle="桁区切り" totalsRowCellStyle="桁区切り">
      <totalsRowFormula>SUM(LTBL_28223[総数／事業所数])</totalsRowFormula>
    </tableColumn>
    <tableColumn id="11" xr3:uid="{21692A90-986A-46B1-806B-CF9D7FDF5130}" name="総数／構成比" dataDxfId="263"/>
    <tableColumn id="12" xr3:uid="{4FFBB960-640A-43CF-8487-72FDAF626485}" name="個人／事業所数" totalsRowFunction="sum" totalsRowDxfId="262" dataCellStyle="桁区切り" totalsRowCellStyle="桁区切り"/>
    <tableColumn id="13" xr3:uid="{71631D7C-FE55-4880-BC25-75127E5759A7}" name="個人／構成比" dataDxfId="261"/>
    <tableColumn id="14" xr3:uid="{7563F57C-D551-40C3-A1A0-E3C93376D9B2}" name="法人／事業所数" totalsRowFunction="sum" totalsRowDxfId="260" dataCellStyle="桁区切り" totalsRowCellStyle="桁区切り"/>
    <tableColumn id="15" xr3:uid="{F2F4AD15-2A61-4128-9EF0-8C7940E2F3FD}" name="法人／構成比" dataDxfId="259"/>
    <tableColumn id="16" xr3:uid="{85835C4F-B67E-4566-BDF9-1CC947AFE370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8FE6F773-B505-4F85-A03C-E92A6907AE50}" name="M_TABLE_28223" displayName="M_TABLE_28223" ref="B23:I43" totalsRowShown="0">
  <autoFilter ref="B23:I43" xr:uid="{8FE6F773-B505-4F85-A03C-E92A6907AE50}"/>
  <tableColumns count="8">
    <tableColumn id="9" xr3:uid="{2939DD88-90C4-4173-AA3D-14E3FFC5E1A2}" name="産業中分類上位２０"/>
    <tableColumn id="10" xr3:uid="{DDA57595-C684-477B-A9EE-C6D3B8E540CD}" name="総数／事業所数" dataCellStyle="桁区切り"/>
    <tableColumn id="11" xr3:uid="{80063E1C-3C96-491B-BF2C-24F77C326BBC}" name="総数／構成比" dataDxfId="257"/>
    <tableColumn id="12" xr3:uid="{E1CB7576-7A85-4B6A-929C-5E84611492D0}" name="個人／事業所数" dataCellStyle="桁区切り"/>
    <tableColumn id="13" xr3:uid="{548DCCE2-0A2B-4668-8D1E-69AC7DBEB413}" name="個人／構成比" dataDxfId="256"/>
    <tableColumn id="14" xr3:uid="{6BCD0F9E-654B-4C72-BA92-98F5683C84AB}" name="法人／事業所数" dataCellStyle="桁区切り"/>
    <tableColumn id="15" xr3:uid="{4B20E962-4274-414D-97C8-ED723A9B69BD}" name="法人／構成比" dataDxfId="255"/>
    <tableColumn id="16" xr3:uid="{1DE1AD7F-A906-4275-8B8E-108EA419E59D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92FF9D78-A224-47E8-BECD-A50B47DBCDDE}" name="S_TABLE_28223" displayName="S_TABLE_28223" ref="B46:I67" totalsRowShown="0">
  <autoFilter ref="B46:I67" xr:uid="{92FF9D78-A224-47E8-BECD-A50B47DBCDDE}"/>
  <tableColumns count="8">
    <tableColumn id="9" xr3:uid="{4C4EEB81-2AE0-4F1F-B3A1-7B15F35032C6}" name="産業小分類上位２０"/>
    <tableColumn id="10" xr3:uid="{A80FDDFC-5779-4AAC-B3E8-D2EF145F12C6}" name="総数／事業所数" dataCellStyle="桁区切り"/>
    <tableColumn id="11" xr3:uid="{2E671C43-6E62-46C3-B915-ACA33DF409AD}" name="総数／構成比" dataDxfId="254"/>
    <tableColumn id="12" xr3:uid="{D24D23A2-014D-4530-93F4-8A6A25603A42}" name="個人／事業所数" dataCellStyle="桁区切り"/>
    <tableColumn id="13" xr3:uid="{47B5D8F9-6125-4058-A171-7986C7DED1FF}" name="個人／構成比" dataDxfId="253"/>
    <tableColumn id="14" xr3:uid="{8B30221E-B775-46B8-BE67-4FA7A437C8AC}" name="法人／事業所数" dataCellStyle="桁区切り"/>
    <tableColumn id="15" xr3:uid="{61910C12-67F3-43C8-911A-8602251AE94B}" name="法人／構成比" dataDxfId="252"/>
    <tableColumn id="16" xr3:uid="{356F4714-3D21-45D1-97DA-BBDF8A0EA51D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7.xml"/><Relationship Id="rId2" Type="http://schemas.openxmlformats.org/officeDocument/2006/relationships/table" Target="../tables/table136.xml"/><Relationship Id="rId1" Type="http://schemas.openxmlformats.org/officeDocument/2006/relationships/printerSettings" Target="../printerSettings/printerSettings49.bin"/><Relationship Id="rId4" Type="http://schemas.openxmlformats.org/officeDocument/2006/relationships/table" Target="../tables/table138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0.xml"/><Relationship Id="rId2" Type="http://schemas.openxmlformats.org/officeDocument/2006/relationships/table" Target="../tables/table139.xml"/><Relationship Id="rId1" Type="http://schemas.openxmlformats.org/officeDocument/2006/relationships/printerSettings" Target="../printerSettings/printerSettings50.bin"/><Relationship Id="rId4" Type="http://schemas.openxmlformats.org/officeDocument/2006/relationships/table" Target="../tables/table14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3.xml"/><Relationship Id="rId2" Type="http://schemas.openxmlformats.org/officeDocument/2006/relationships/table" Target="../tables/table142.xml"/><Relationship Id="rId1" Type="http://schemas.openxmlformats.org/officeDocument/2006/relationships/printerSettings" Target="../printerSettings/printerSettings51.bin"/><Relationship Id="rId4" Type="http://schemas.openxmlformats.org/officeDocument/2006/relationships/table" Target="../tables/table144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52.bin"/><Relationship Id="rId4" Type="http://schemas.openxmlformats.org/officeDocument/2006/relationships/table" Target="../tables/table147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9.xml"/><Relationship Id="rId2" Type="http://schemas.openxmlformats.org/officeDocument/2006/relationships/table" Target="../tables/table148.xml"/><Relationship Id="rId1" Type="http://schemas.openxmlformats.org/officeDocument/2006/relationships/printerSettings" Target="../printerSettings/printerSettings53.bin"/><Relationship Id="rId4" Type="http://schemas.openxmlformats.org/officeDocument/2006/relationships/table" Target="../tables/table150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2.xml"/><Relationship Id="rId2" Type="http://schemas.openxmlformats.org/officeDocument/2006/relationships/table" Target="../tables/table151.xml"/><Relationship Id="rId1" Type="http://schemas.openxmlformats.org/officeDocument/2006/relationships/printerSettings" Target="../printerSettings/printerSettings54.bin"/><Relationship Id="rId4" Type="http://schemas.openxmlformats.org/officeDocument/2006/relationships/table" Target="../tables/table15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6E34-984C-4E26-9659-E8DA5A27B9B8}">
  <dimension ref="A1:B55"/>
  <sheetViews>
    <sheetView tabSelected="1" workbookViewId="0"/>
  </sheetViews>
  <sheetFormatPr defaultRowHeight="13.2" x14ac:dyDescent="0.2"/>
  <sheetData>
    <row r="1" spans="1:2" x14ac:dyDescent="0.2">
      <c r="A1" t="s">
        <v>320</v>
      </c>
    </row>
    <row r="2" spans="1:2" x14ac:dyDescent="0.2">
      <c r="B2" s="13" t="s">
        <v>214</v>
      </c>
    </row>
    <row r="3" spans="1:2" x14ac:dyDescent="0.2">
      <c r="B3" s="13" t="s">
        <v>121</v>
      </c>
    </row>
    <row r="4" spans="1:2" x14ac:dyDescent="0.2">
      <c r="B4" s="13" t="s">
        <v>212</v>
      </c>
    </row>
    <row r="5" spans="1:2" x14ac:dyDescent="0.2">
      <c r="B5" s="13" t="s">
        <v>269</v>
      </c>
    </row>
    <row r="6" spans="1:2" x14ac:dyDescent="0.2">
      <c r="B6" s="13" t="s">
        <v>270</v>
      </c>
    </row>
    <row r="7" spans="1:2" x14ac:dyDescent="0.2">
      <c r="B7" s="13" t="s">
        <v>271</v>
      </c>
    </row>
    <row r="8" spans="1:2" x14ac:dyDescent="0.2">
      <c r="B8" s="13" t="s">
        <v>272</v>
      </c>
    </row>
    <row r="9" spans="1:2" x14ac:dyDescent="0.2">
      <c r="B9" s="13" t="s">
        <v>273</v>
      </c>
    </row>
    <row r="10" spans="1:2" x14ac:dyDescent="0.2">
      <c r="B10" s="13" t="s">
        <v>274</v>
      </c>
    </row>
    <row r="11" spans="1:2" x14ac:dyDescent="0.2">
      <c r="B11" s="13" t="s">
        <v>275</v>
      </c>
    </row>
    <row r="12" spans="1:2" x14ac:dyDescent="0.2">
      <c r="B12" s="13" t="s">
        <v>276</v>
      </c>
    </row>
    <row r="13" spans="1:2" x14ac:dyDescent="0.2">
      <c r="B13" s="13" t="s">
        <v>277</v>
      </c>
    </row>
    <row r="14" spans="1:2" x14ac:dyDescent="0.2">
      <c r="B14" s="13" t="s">
        <v>278</v>
      </c>
    </row>
    <row r="15" spans="1:2" x14ac:dyDescent="0.2">
      <c r="B15" s="13" t="s">
        <v>279</v>
      </c>
    </row>
    <row r="16" spans="1:2" x14ac:dyDescent="0.2">
      <c r="B16" s="13" t="s">
        <v>280</v>
      </c>
    </row>
    <row r="17" spans="2:2" x14ac:dyDescent="0.2">
      <c r="B17" s="13" t="s">
        <v>281</v>
      </c>
    </row>
    <row r="18" spans="2:2" x14ac:dyDescent="0.2">
      <c r="B18" s="13" t="s">
        <v>282</v>
      </c>
    </row>
    <row r="19" spans="2:2" x14ac:dyDescent="0.2">
      <c r="B19" s="13" t="s">
        <v>283</v>
      </c>
    </row>
    <row r="20" spans="2:2" x14ac:dyDescent="0.2">
      <c r="B20" s="13" t="s">
        <v>284</v>
      </c>
    </row>
    <row r="21" spans="2:2" x14ac:dyDescent="0.2">
      <c r="B21" s="13" t="s">
        <v>285</v>
      </c>
    </row>
    <row r="22" spans="2:2" x14ac:dyDescent="0.2">
      <c r="B22" s="13" t="s">
        <v>286</v>
      </c>
    </row>
    <row r="23" spans="2:2" x14ac:dyDescent="0.2">
      <c r="B23" s="13" t="s">
        <v>287</v>
      </c>
    </row>
    <row r="24" spans="2:2" x14ac:dyDescent="0.2">
      <c r="B24" s="13" t="s">
        <v>288</v>
      </c>
    </row>
    <row r="25" spans="2:2" x14ac:dyDescent="0.2">
      <c r="B25" s="13" t="s">
        <v>289</v>
      </c>
    </row>
    <row r="26" spans="2:2" x14ac:dyDescent="0.2">
      <c r="B26" s="13" t="s">
        <v>290</v>
      </c>
    </row>
    <row r="27" spans="2:2" x14ac:dyDescent="0.2">
      <c r="B27" s="13" t="s">
        <v>291</v>
      </c>
    </row>
    <row r="28" spans="2:2" x14ac:dyDescent="0.2">
      <c r="B28" s="13" t="s">
        <v>292</v>
      </c>
    </row>
    <row r="29" spans="2:2" x14ac:dyDescent="0.2">
      <c r="B29" s="13" t="s">
        <v>293</v>
      </c>
    </row>
    <row r="30" spans="2:2" x14ac:dyDescent="0.2">
      <c r="B30" s="13" t="s">
        <v>294</v>
      </c>
    </row>
    <row r="31" spans="2:2" x14ac:dyDescent="0.2">
      <c r="B31" s="13" t="s">
        <v>295</v>
      </c>
    </row>
    <row r="32" spans="2:2" x14ac:dyDescent="0.2">
      <c r="B32" s="13" t="s">
        <v>296</v>
      </c>
    </row>
    <row r="33" spans="2:2" x14ac:dyDescent="0.2">
      <c r="B33" s="13" t="s">
        <v>297</v>
      </c>
    </row>
    <row r="34" spans="2:2" x14ac:dyDescent="0.2">
      <c r="B34" s="13" t="s">
        <v>298</v>
      </c>
    </row>
    <row r="35" spans="2:2" x14ac:dyDescent="0.2">
      <c r="B35" s="13" t="s">
        <v>299</v>
      </c>
    </row>
    <row r="36" spans="2:2" x14ac:dyDescent="0.2">
      <c r="B36" s="13" t="s">
        <v>300</v>
      </c>
    </row>
    <row r="37" spans="2:2" x14ac:dyDescent="0.2">
      <c r="B37" s="13" t="s">
        <v>301</v>
      </c>
    </row>
    <row r="38" spans="2:2" x14ac:dyDescent="0.2">
      <c r="B38" s="13" t="s">
        <v>302</v>
      </c>
    </row>
    <row r="39" spans="2:2" x14ac:dyDescent="0.2">
      <c r="B39" s="13" t="s">
        <v>303</v>
      </c>
    </row>
    <row r="40" spans="2:2" x14ac:dyDescent="0.2">
      <c r="B40" s="13" t="s">
        <v>304</v>
      </c>
    </row>
    <row r="41" spans="2:2" x14ac:dyDescent="0.2">
      <c r="B41" s="13" t="s">
        <v>305</v>
      </c>
    </row>
    <row r="42" spans="2:2" x14ac:dyDescent="0.2">
      <c r="B42" s="13" t="s">
        <v>306</v>
      </c>
    </row>
    <row r="43" spans="2:2" x14ac:dyDescent="0.2">
      <c r="B43" s="13" t="s">
        <v>307</v>
      </c>
    </row>
    <row r="44" spans="2:2" x14ac:dyDescent="0.2">
      <c r="B44" s="13" t="s">
        <v>308</v>
      </c>
    </row>
    <row r="45" spans="2:2" x14ac:dyDescent="0.2">
      <c r="B45" s="13" t="s">
        <v>309</v>
      </c>
    </row>
    <row r="46" spans="2:2" x14ac:dyDescent="0.2">
      <c r="B46" s="13" t="s">
        <v>310</v>
      </c>
    </row>
    <row r="47" spans="2:2" x14ac:dyDescent="0.2">
      <c r="B47" s="13" t="s">
        <v>311</v>
      </c>
    </row>
    <row r="48" spans="2:2" x14ac:dyDescent="0.2">
      <c r="B48" s="13" t="s">
        <v>312</v>
      </c>
    </row>
    <row r="49" spans="2:2" x14ac:dyDescent="0.2">
      <c r="B49" s="13" t="s">
        <v>313</v>
      </c>
    </row>
    <row r="50" spans="2:2" x14ac:dyDescent="0.2">
      <c r="B50" s="13" t="s">
        <v>314</v>
      </c>
    </row>
    <row r="51" spans="2:2" x14ac:dyDescent="0.2">
      <c r="B51" s="13" t="s">
        <v>315</v>
      </c>
    </row>
    <row r="52" spans="2:2" x14ac:dyDescent="0.2">
      <c r="B52" s="13" t="s">
        <v>316</v>
      </c>
    </row>
    <row r="53" spans="2:2" x14ac:dyDescent="0.2">
      <c r="B53" s="13" t="s">
        <v>317</v>
      </c>
    </row>
    <row r="54" spans="2:2" x14ac:dyDescent="0.2">
      <c r="B54" s="13" t="s">
        <v>318</v>
      </c>
    </row>
    <row r="55" spans="2:2" x14ac:dyDescent="0.2">
      <c r="B55" s="13" t="s">
        <v>319</v>
      </c>
    </row>
  </sheetData>
  <phoneticPr fontId="1"/>
  <hyperlinks>
    <hyperlink ref="B2" location="'産業大分類'!a1" display="産業大分類" xr:uid="{33CC58F9-BA91-42E5-9891-C6C69C37C9D1}"/>
    <hyperlink ref="B3" location="'産業中分類'!a1" display="産業中分類" xr:uid="{2FCA913E-6250-4BE4-8FA9-2457A8EB094B}"/>
    <hyperlink ref="B4" location="'産業小分類'!a1" display="産業小分類" xr:uid="{FB3C03F1-1423-4041-AEFB-6DE5CE645FAB}"/>
    <hyperlink ref="B5" location="'兵庫県'!a1" display="兵庫県" xr:uid="{EB81F85E-F77B-4A0D-B9CC-065C814CC4DC}"/>
    <hyperlink ref="B6" location="'神戸市'!a1" display="神戸市" xr:uid="{B9882BE5-93B9-4CDD-BC82-EF912CFECE86}"/>
    <hyperlink ref="B7" location="'神戸市東灘区'!a1" display="神戸市東灘区" xr:uid="{8FA3C560-D051-47B3-AC84-720FE8B81819}"/>
    <hyperlink ref="B8" location="'神戸市灘区'!a1" display="神戸市灘区" xr:uid="{A8A2FB1D-0729-454F-9B09-1E3F4A38A75B}"/>
    <hyperlink ref="B9" location="'神戸市兵庫区'!a1" display="神戸市兵庫区" xr:uid="{1EBF9ADB-F192-41D9-9AA5-F14A21F17BF6}"/>
    <hyperlink ref="B10" location="'神戸市長田区'!a1" display="神戸市長田区" xr:uid="{B9F2FB2F-7EE3-424F-8B70-690D2569A9CD}"/>
    <hyperlink ref="B11" location="'神戸市須磨区'!a1" display="神戸市須磨区" xr:uid="{BA48CD86-C306-49A2-AEC1-32616D1609A5}"/>
    <hyperlink ref="B12" location="'神戸市垂水区'!a1" display="神戸市垂水区" xr:uid="{625407EE-46C7-463E-BAE8-611D00C56073}"/>
    <hyperlink ref="B13" location="'神戸市北区'!a1" display="神戸市北区" xr:uid="{47F37860-DFFA-4498-BED2-270F4B572930}"/>
    <hyperlink ref="B14" location="'神戸市中央区'!a1" display="神戸市中央区" xr:uid="{712D5EC9-92E2-4F51-91A1-ADE8E50963AC}"/>
    <hyperlink ref="B15" location="'神戸市西区'!a1" display="神戸市西区" xr:uid="{512EB9FC-5910-4C10-9302-4DE4032E59FD}"/>
    <hyperlink ref="B16" location="'姫路市'!a1" display="姫路市" xr:uid="{A2E34F8B-BED8-4448-AD0E-4F9E3D3D4378}"/>
    <hyperlink ref="B17" location="'尼崎市'!a1" display="尼崎市" xr:uid="{FADFD6EB-3F40-401C-8A36-F71D64302DCA}"/>
    <hyperlink ref="B18" location="'明石市'!a1" display="明石市" xr:uid="{C45FC193-29A5-4DDA-9FAA-A8A76532D749}"/>
    <hyperlink ref="B19" location="'西宮市'!a1" display="西宮市" xr:uid="{B5057249-69E3-4F5A-875D-77595E659E48}"/>
    <hyperlink ref="B20" location="'洲本市'!a1" display="洲本市" xr:uid="{F28CBB17-BB55-457D-83F7-D74687864A55}"/>
    <hyperlink ref="B21" location="'芦屋市'!a1" display="芦屋市" xr:uid="{7614EF37-1C09-40CC-87EF-B7E26A144129}"/>
    <hyperlink ref="B22" location="'伊丹市'!a1" display="伊丹市" xr:uid="{B4799798-CE62-4EA3-BFE2-AFA1BD2AC443}"/>
    <hyperlink ref="B23" location="'相生市'!a1" display="相生市" xr:uid="{B845F023-7074-4D3B-8AF8-6F60D0B39053}"/>
    <hyperlink ref="B24" location="'豊岡市'!a1" display="豊岡市" xr:uid="{BCFCBD6E-8D8B-4992-A3B1-BA37714D6F69}"/>
    <hyperlink ref="B25" location="'加古川市'!a1" display="加古川市" xr:uid="{E90C8D70-F4FA-4AAF-BB59-22353995DDFB}"/>
    <hyperlink ref="B26" location="'赤穂市'!a1" display="赤穂市" xr:uid="{466A94C2-AEBA-4B40-91B7-E9BDECF2D10F}"/>
    <hyperlink ref="B27" location="'西脇市'!a1" display="西脇市" xr:uid="{8CCAC730-9DB4-48D0-BE20-C6A802CB31CD}"/>
    <hyperlink ref="B28" location="'宝塚市'!a1" display="宝塚市" xr:uid="{D77A1B4A-2317-410B-A3A5-6DFE6CF1AB2F}"/>
    <hyperlink ref="B29" location="'三木市'!a1" display="三木市" xr:uid="{DF58456D-0F14-471B-94C5-C6787D6131DB}"/>
    <hyperlink ref="B30" location="'高砂市'!a1" display="高砂市" xr:uid="{4FAA8322-8FCD-4E71-9276-7AE663A9BA90}"/>
    <hyperlink ref="B31" location="'川西市'!a1" display="川西市" xr:uid="{9F415E83-C051-4964-8A68-C0CEF561EDDA}"/>
    <hyperlink ref="B32" location="'小野市'!a1" display="小野市" xr:uid="{AA22E3C6-9570-40B7-AA17-B1687FB0E1BD}"/>
    <hyperlink ref="B33" location="'三田市'!a1" display="三田市" xr:uid="{174A0530-F2D2-4C34-941B-BC4CCE82418D}"/>
    <hyperlink ref="B34" location="'加西市'!a1" display="加西市" xr:uid="{5A7ADF89-E1DE-45E4-B04B-EA97F7294BA2}"/>
    <hyperlink ref="B35" location="'丹波篠山市'!a1" display="丹波篠山市" xr:uid="{6EEF8000-1D1E-40AD-BCE0-4DC8AA6FAB05}"/>
    <hyperlink ref="B36" location="'養父市'!a1" display="養父市" xr:uid="{F51A127B-CD8E-491D-AA35-A0A95B98417C}"/>
    <hyperlink ref="B37" location="'丹波市'!a1" display="丹波市" xr:uid="{7687095D-1A2C-41CF-9098-D0A2A8E70F3C}"/>
    <hyperlink ref="B38" location="'南あわじ市'!a1" display="南あわじ市" xr:uid="{314C5741-CFF3-4A77-9C88-E7E8BA6B05F7}"/>
    <hyperlink ref="B39" location="'朝来市'!a1" display="朝来市" xr:uid="{3FED1409-E856-49D6-B406-E3B58D802B2A}"/>
    <hyperlink ref="B40" location="'淡路市'!a1" display="淡路市" xr:uid="{71FF7321-B7DC-49C4-84B9-9D52C44EF19F}"/>
    <hyperlink ref="B41" location="'宍粟市'!a1" display="宍粟市" xr:uid="{0FF82410-0D68-4D87-AB3A-E529923DA908}"/>
    <hyperlink ref="B42" location="'加東市'!a1" display="加東市" xr:uid="{71209279-8DF0-4246-BF11-C08E89CE0E8A}"/>
    <hyperlink ref="B43" location="'たつの市'!a1" display="たつの市" xr:uid="{B345E87C-5261-42CD-A759-CA2E3C88B87C}"/>
    <hyperlink ref="B44" location="'川辺郡猪名川町'!a1" display="川辺郡猪名川町" xr:uid="{42989064-8AA1-4673-A859-8D5DD1CC64DE}"/>
    <hyperlink ref="B45" location="'多可郡多可町'!a1" display="多可郡多可町" xr:uid="{DB683CB3-20A1-4D78-97EA-175176B70C1F}"/>
    <hyperlink ref="B46" location="'加古郡稲美町'!a1" display="加古郡稲美町" xr:uid="{A7DB6EFC-B052-4E7E-949C-5B6100AB7D54}"/>
    <hyperlink ref="B47" location="'加古郡播磨町'!a1" display="加古郡播磨町" xr:uid="{B4EFA113-5A6B-4F9E-AF17-2DA24BB9DA2B}"/>
    <hyperlink ref="B48" location="'神崎郡市川町'!a1" display="神崎郡市川町" xr:uid="{1A7CE3E3-2ABD-4CE2-BCA9-C232D8BA8438}"/>
    <hyperlink ref="B49" location="'神崎郡福崎町'!a1" display="神崎郡福崎町" xr:uid="{7C1A2F7B-023D-40FE-90C2-E90CDAF52E25}"/>
    <hyperlink ref="B50" location="'神崎郡神河町'!a1" display="神崎郡神河町" xr:uid="{6C069BDF-81AB-4EA9-A303-289DAC1AB7DE}"/>
    <hyperlink ref="B51" location="'揖保郡太子町'!a1" display="揖保郡太子町" xr:uid="{18B8414E-EFB7-4C9B-8498-9D767851DCB1}"/>
    <hyperlink ref="B52" location="'赤穂郡上郡町'!a1" display="赤穂郡上郡町" xr:uid="{84340D82-476F-42A3-95FB-46D22F0EEF59}"/>
    <hyperlink ref="B53" location="'佐用郡佐用町'!a1" display="佐用郡佐用町" xr:uid="{8A3CBC6C-7546-4C9F-9E07-3B0D0BAEBBA0}"/>
    <hyperlink ref="B54" location="'美方郡香美町'!a1" display="美方郡香美町" xr:uid="{2CE6EBA9-F986-4664-9666-2CE4FB0DF9AD}"/>
    <hyperlink ref="B55" location="'美方郡新温泉町'!a1" display="美方郡新温泉町" xr:uid="{E59C353A-BA33-452C-B86B-3FF5D84671E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9D038-C0C9-42CA-A5E8-DAA31AD297D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223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266</v>
      </c>
      <c r="D6" s="8">
        <v>8.31</v>
      </c>
      <c r="E6" s="12">
        <v>75</v>
      </c>
      <c r="F6" s="8">
        <v>3.95</v>
      </c>
      <c r="G6" s="12">
        <v>191</v>
      </c>
      <c r="H6" s="8">
        <v>14.74</v>
      </c>
      <c r="I6" s="12">
        <v>0</v>
      </c>
    </row>
    <row r="7" spans="2:9" ht="15" customHeight="1" x14ac:dyDescent="0.2">
      <c r="B7" t="s">
        <v>53</v>
      </c>
      <c r="C7" s="12">
        <v>678</v>
      </c>
      <c r="D7" s="8">
        <v>21.17</v>
      </c>
      <c r="E7" s="12">
        <v>392</v>
      </c>
      <c r="F7" s="8">
        <v>20.63</v>
      </c>
      <c r="G7" s="12">
        <v>286</v>
      </c>
      <c r="H7" s="8">
        <v>22.07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9</v>
      </c>
      <c r="D9" s="8">
        <v>0.28000000000000003</v>
      </c>
      <c r="E9" s="12">
        <v>0</v>
      </c>
      <c r="F9" s="8">
        <v>0</v>
      </c>
      <c r="G9" s="12">
        <v>9</v>
      </c>
      <c r="H9" s="8">
        <v>0.69</v>
      </c>
      <c r="I9" s="12">
        <v>0</v>
      </c>
    </row>
    <row r="10" spans="2:9" ht="15" customHeight="1" x14ac:dyDescent="0.2">
      <c r="B10" t="s">
        <v>56</v>
      </c>
      <c r="C10" s="12">
        <v>33</v>
      </c>
      <c r="D10" s="8">
        <v>1.03</v>
      </c>
      <c r="E10" s="12">
        <v>13</v>
      </c>
      <c r="F10" s="8">
        <v>0.68</v>
      </c>
      <c r="G10" s="12">
        <v>20</v>
      </c>
      <c r="H10" s="8">
        <v>1.54</v>
      </c>
      <c r="I10" s="12">
        <v>0</v>
      </c>
    </row>
    <row r="11" spans="2:9" ht="15" customHeight="1" x14ac:dyDescent="0.2">
      <c r="B11" t="s">
        <v>57</v>
      </c>
      <c r="C11" s="12">
        <v>746</v>
      </c>
      <c r="D11" s="8">
        <v>23.3</v>
      </c>
      <c r="E11" s="12">
        <v>393</v>
      </c>
      <c r="F11" s="8">
        <v>20.68</v>
      </c>
      <c r="G11" s="12">
        <v>353</v>
      </c>
      <c r="H11" s="8">
        <v>27.24</v>
      </c>
      <c r="I11" s="12">
        <v>0</v>
      </c>
    </row>
    <row r="12" spans="2:9" ht="15" customHeight="1" x14ac:dyDescent="0.2">
      <c r="B12" t="s">
        <v>58</v>
      </c>
      <c r="C12" s="12">
        <v>9</v>
      </c>
      <c r="D12" s="8">
        <v>0.28000000000000003</v>
      </c>
      <c r="E12" s="12">
        <v>0</v>
      </c>
      <c r="F12" s="8">
        <v>0</v>
      </c>
      <c r="G12" s="12">
        <v>9</v>
      </c>
      <c r="H12" s="8">
        <v>0.69</v>
      </c>
      <c r="I12" s="12">
        <v>0</v>
      </c>
    </row>
    <row r="13" spans="2:9" ht="15" customHeight="1" x14ac:dyDescent="0.2">
      <c r="B13" t="s">
        <v>59</v>
      </c>
      <c r="C13" s="12">
        <v>292</v>
      </c>
      <c r="D13" s="8">
        <v>9.1199999999999992</v>
      </c>
      <c r="E13" s="12">
        <v>121</v>
      </c>
      <c r="F13" s="8">
        <v>6.37</v>
      </c>
      <c r="G13" s="12">
        <v>171</v>
      </c>
      <c r="H13" s="8">
        <v>13.19</v>
      </c>
      <c r="I13" s="12">
        <v>0</v>
      </c>
    </row>
    <row r="14" spans="2:9" ht="15" customHeight="1" x14ac:dyDescent="0.2">
      <c r="B14" t="s">
        <v>60</v>
      </c>
      <c r="C14" s="12">
        <v>108</v>
      </c>
      <c r="D14" s="8">
        <v>3.37</v>
      </c>
      <c r="E14" s="12">
        <v>52</v>
      </c>
      <c r="F14" s="8">
        <v>2.74</v>
      </c>
      <c r="G14" s="12">
        <v>56</v>
      </c>
      <c r="H14" s="8">
        <v>4.32</v>
      </c>
      <c r="I14" s="12">
        <v>0</v>
      </c>
    </row>
    <row r="15" spans="2:9" ht="15" customHeight="1" x14ac:dyDescent="0.2">
      <c r="B15" t="s">
        <v>61</v>
      </c>
      <c r="C15" s="12">
        <v>463</v>
      </c>
      <c r="D15" s="8">
        <v>14.46</v>
      </c>
      <c r="E15" s="12">
        <v>431</v>
      </c>
      <c r="F15" s="8">
        <v>22.68</v>
      </c>
      <c r="G15" s="12">
        <v>32</v>
      </c>
      <c r="H15" s="8">
        <v>2.4700000000000002</v>
      </c>
      <c r="I15" s="12">
        <v>0</v>
      </c>
    </row>
    <row r="16" spans="2:9" ht="15" customHeight="1" x14ac:dyDescent="0.2">
      <c r="B16" t="s">
        <v>62</v>
      </c>
      <c r="C16" s="12">
        <v>291</v>
      </c>
      <c r="D16" s="8">
        <v>9.09</v>
      </c>
      <c r="E16" s="12">
        <v>246</v>
      </c>
      <c r="F16" s="8">
        <v>12.95</v>
      </c>
      <c r="G16" s="12">
        <v>45</v>
      </c>
      <c r="H16" s="8">
        <v>3.47</v>
      </c>
      <c r="I16" s="12">
        <v>0</v>
      </c>
    </row>
    <row r="17" spans="2:9" ht="15" customHeight="1" x14ac:dyDescent="0.2">
      <c r="B17" t="s">
        <v>63</v>
      </c>
      <c r="C17" s="12">
        <v>58</v>
      </c>
      <c r="D17" s="8">
        <v>1.81</v>
      </c>
      <c r="E17" s="12">
        <v>48</v>
      </c>
      <c r="F17" s="8">
        <v>2.5299999999999998</v>
      </c>
      <c r="G17" s="12">
        <v>8</v>
      </c>
      <c r="H17" s="8">
        <v>0.62</v>
      </c>
      <c r="I17" s="12">
        <v>2</v>
      </c>
    </row>
    <row r="18" spans="2:9" ht="15" customHeight="1" x14ac:dyDescent="0.2">
      <c r="B18" t="s">
        <v>64</v>
      </c>
      <c r="C18" s="12">
        <v>169</v>
      </c>
      <c r="D18" s="8">
        <v>5.28</v>
      </c>
      <c r="E18" s="12">
        <v>98</v>
      </c>
      <c r="F18" s="8">
        <v>5.16</v>
      </c>
      <c r="G18" s="12">
        <v>70</v>
      </c>
      <c r="H18" s="8">
        <v>5.4</v>
      </c>
      <c r="I18" s="12">
        <v>0</v>
      </c>
    </row>
    <row r="19" spans="2:9" ht="15" customHeight="1" x14ac:dyDescent="0.2">
      <c r="B19" t="s">
        <v>65</v>
      </c>
      <c r="C19" s="12">
        <v>80</v>
      </c>
      <c r="D19" s="8">
        <v>2.5</v>
      </c>
      <c r="E19" s="12">
        <v>31</v>
      </c>
      <c r="F19" s="8">
        <v>1.63</v>
      </c>
      <c r="G19" s="12">
        <v>46</v>
      </c>
      <c r="H19" s="8">
        <v>3.55</v>
      </c>
      <c r="I19" s="12">
        <v>1</v>
      </c>
    </row>
    <row r="20" spans="2:9" ht="15" customHeight="1" x14ac:dyDescent="0.2">
      <c r="B20" s="9" t="s">
        <v>215</v>
      </c>
      <c r="C20" s="12">
        <f>SUM(LTBL_28106[総数／事業所数])</f>
        <v>3202</v>
      </c>
      <c r="E20" s="12">
        <f>SUBTOTAL(109,LTBL_28106[個人／事業所数])</f>
        <v>1900</v>
      </c>
      <c r="G20" s="12">
        <f>SUBTOTAL(109,LTBL_28106[法人／事業所数])</f>
        <v>1296</v>
      </c>
      <c r="I20" s="12">
        <f>SUBTOTAL(109,LTBL_28106[法人以外の団体／事業所数])</f>
        <v>3</v>
      </c>
    </row>
    <row r="21" spans="2:9" ht="15" customHeight="1" x14ac:dyDescent="0.2">
      <c r="E21" s="11">
        <f>LTBL_28106[[#Totals],[個人／事業所数]]/LTBL_28106[[#Totals],[総数／事業所数]]</f>
        <v>0.59337913803872577</v>
      </c>
      <c r="G21" s="11">
        <f>LTBL_28106[[#Totals],[法人／事業所数]]/LTBL_28106[[#Totals],[総数／事業所数]]</f>
        <v>0.40474703310430982</v>
      </c>
      <c r="I21" s="11">
        <f>LTBL_28106[[#Totals],[法人以外の団体／事業所数]]/LTBL_28106[[#Totals],[総数／事業所数]]</f>
        <v>9.3691442848219868E-4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450</v>
      </c>
      <c r="D24" s="8">
        <v>14.05</v>
      </c>
      <c r="E24" s="12">
        <v>424</v>
      </c>
      <c r="F24" s="8">
        <v>22.32</v>
      </c>
      <c r="G24" s="12">
        <v>26</v>
      </c>
      <c r="H24" s="8">
        <v>2.0099999999999998</v>
      </c>
      <c r="I24" s="12">
        <v>0</v>
      </c>
    </row>
    <row r="25" spans="2:9" ht="15" customHeight="1" x14ac:dyDescent="0.2">
      <c r="B25" t="s">
        <v>89</v>
      </c>
      <c r="C25" s="12">
        <v>252</v>
      </c>
      <c r="D25" s="8">
        <v>7.87</v>
      </c>
      <c r="E25" s="12">
        <v>230</v>
      </c>
      <c r="F25" s="8">
        <v>12.11</v>
      </c>
      <c r="G25" s="12">
        <v>22</v>
      </c>
      <c r="H25" s="8">
        <v>1.7</v>
      </c>
      <c r="I25" s="12">
        <v>0</v>
      </c>
    </row>
    <row r="26" spans="2:9" ht="15" customHeight="1" x14ac:dyDescent="0.2">
      <c r="B26" t="s">
        <v>85</v>
      </c>
      <c r="C26" s="12">
        <v>231</v>
      </c>
      <c r="D26" s="8">
        <v>7.21</v>
      </c>
      <c r="E26" s="12">
        <v>110</v>
      </c>
      <c r="F26" s="8">
        <v>5.79</v>
      </c>
      <c r="G26" s="12">
        <v>121</v>
      </c>
      <c r="H26" s="8">
        <v>9.34</v>
      </c>
      <c r="I26" s="12">
        <v>0</v>
      </c>
    </row>
    <row r="27" spans="2:9" ht="15" customHeight="1" x14ac:dyDescent="0.2">
      <c r="B27" t="s">
        <v>81</v>
      </c>
      <c r="C27" s="12">
        <v>199</v>
      </c>
      <c r="D27" s="8">
        <v>6.21</v>
      </c>
      <c r="E27" s="12">
        <v>154</v>
      </c>
      <c r="F27" s="8">
        <v>8.11</v>
      </c>
      <c r="G27" s="12">
        <v>45</v>
      </c>
      <c r="H27" s="8">
        <v>3.47</v>
      </c>
      <c r="I27" s="12">
        <v>0</v>
      </c>
    </row>
    <row r="28" spans="2:9" ht="15" customHeight="1" x14ac:dyDescent="0.2">
      <c r="B28" t="s">
        <v>83</v>
      </c>
      <c r="C28" s="12">
        <v>163</v>
      </c>
      <c r="D28" s="8">
        <v>5.09</v>
      </c>
      <c r="E28" s="12">
        <v>94</v>
      </c>
      <c r="F28" s="8">
        <v>4.95</v>
      </c>
      <c r="G28" s="12">
        <v>69</v>
      </c>
      <c r="H28" s="8">
        <v>5.32</v>
      </c>
      <c r="I28" s="12">
        <v>0</v>
      </c>
    </row>
    <row r="29" spans="2:9" ht="15" customHeight="1" x14ac:dyDescent="0.2">
      <c r="B29" t="s">
        <v>98</v>
      </c>
      <c r="C29" s="12">
        <v>145</v>
      </c>
      <c r="D29" s="8">
        <v>4.53</v>
      </c>
      <c r="E29" s="12">
        <v>113</v>
      </c>
      <c r="F29" s="8">
        <v>5.95</v>
      </c>
      <c r="G29" s="12">
        <v>32</v>
      </c>
      <c r="H29" s="8">
        <v>2.4700000000000002</v>
      </c>
      <c r="I29" s="12">
        <v>0</v>
      </c>
    </row>
    <row r="30" spans="2:9" ht="15" customHeight="1" x14ac:dyDescent="0.2">
      <c r="B30" t="s">
        <v>92</v>
      </c>
      <c r="C30" s="12">
        <v>108</v>
      </c>
      <c r="D30" s="8">
        <v>3.37</v>
      </c>
      <c r="E30" s="12">
        <v>97</v>
      </c>
      <c r="F30" s="8">
        <v>5.1100000000000003</v>
      </c>
      <c r="G30" s="12">
        <v>11</v>
      </c>
      <c r="H30" s="8">
        <v>0.85</v>
      </c>
      <c r="I30" s="12">
        <v>0</v>
      </c>
    </row>
    <row r="31" spans="2:9" ht="15" customHeight="1" x14ac:dyDescent="0.2">
      <c r="B31" t="s">
        <v>99</v>
      </c>
      <c r="C31" s="12">
        <v>107</v>
      </c>
      <c r="D31" s="8">
        <v>3.34</v>
      </c>
      <c r="E31" s="12">
        <v>91</v>
      </c>
      <c r="F31" s="8">
        <v>4.79</v>
      </c>
      <c r="G31" s="12">
        <v>16</v>
      </c>
      <c r="H31" s="8">
        <v>1.23</v>
      </c>
      <c r="I31" s="12">
        <v>0</v>
      </c>
    </row>
    <row r="32" spans="2:9" ht="15" customHeight="1" x14ac:dyDescent="0.2">
      <c r="B32" t="s">
        <v>75</v>
      </c>
      <c r="C32" s="12">
        <v>98</v>
      </c>
      <c r="D32" s="8">
        <v>3.06</v>
      </c>
      <c r="E32" s="12">
        <v>37</v>
      </c>
      <c r="F32" s="8">
        <v>1.95</v>
      </c>
      <c r="G32" s="12">
        <v>61</v>
      </c>
      <c r="H32" s="8">
        <v>4.71</v>
      </c>
      <c r="I32" s="12">
        <v>0</v>
      </c>
    </row>
    <row r="33" spans="2:9" ht="15" customHeight="1" x14ac:dyDescent="0.2">
      <c r="B33" t="s">
        <v>100</v>
      </c>
      <c r="C33" s="12">
        <v>87</v>
      </c>
      <c r="D33" s="8">
        <v>2.72</v>
      </c>
      <c r="E33" s="12">
        <v>40</v>
      </c>
      <c r="F33" s="8">
        <v>2.11</v>
      </c>
      <c r="G33" s="12">
        <v>47</v>
      </c>
      <c r="H33" s="8">
        <v>3.63</v>
      </c>
      <c r="I33" s="12">
        <v>0</v>
      </c>
    </row>
    <row r="34" spans="2:9" ht="15" customHeight="1" x14ac:dyDescent="0.2">
      <c r="B34" t="s">
        <v>74</v>
      </c>
      <c r="C34" s="12">
        <v>85</v>
      </c>
      <c r="D34" s="8">
        <v>2.65</v>
      </c>
      <c r="E34" s="12">
        <v>16</v>
      </c>
      <c r="F34" s="8">
        <v>0.84</v>
      </c>
      <c r="G34" s="12">
        <v>69</v>
      </c>
      <c r="H34" s="8">
        <v>5.32</v>
      </c>
      <c r="I34" s="12">
        <v>0</v>
      </c>
    </row>
    <row r="35" spans="2:9" ht="15" customHeight="1" x14ac:dyDescent="0.2">
      <c r="B35" t="s">
        <v>76</v>
      </c>
      <c r="C35" s="12">
        <v>83</v>
      </c>
      <c r="D35" s="8">
        <v>2.59</v>
      </c>
      <c r="E35" s="12">
        <v>22</v>
      </c>
      <c r="F35" s="8">
        <v>1.1599999999999999</v>
      </c>
      <c r="G35" s="12">
        <v>61</v>
      </c>
      <c r="H35" s="8">
        <v>4.71</v>
      </c>
      <c r="I35" s="12">
        <v>0</v>
      </c>
    </row>
    <row r="36" spans="2:9" ht="15" customHeight="1" x14ac:dyDescent="0.2">
      <c r="B36" t="s">
        <v>77</v>
      </c>
      <c r="C36" s="12">
        <v>82</v>
      </c>
      <c r="D36" s="8">
        <v>2.56</v>
      </c>
      <c r="E36" s="12">
        <v>32</v>
      </c>
      <c r="F36" s="8">
        <v>1.68</v>
      </c>
      <c r="G36" s="12">
        <v>50</v>
      </c>
      <c r="H36" s="8">
        <v>3.86</v>
      </c>
      <c r="I36" s="12">
        <v>0</v>
      </c>
    </row>
    <row r="37" spans="2:9" ht="15" customHeight="1" x14ac:dyDescent="0.2">
      <c r="B37" t="s">
        <v>82</v>
      </c>
      <c r="C37" s="12">
        <v>76</v>
      </c>
      <c r="D37" s="8">
        <v>2.37</v>
      </c>
      <c r="E37" s="12">
        <v>48</v>
      </c>
      <c r="F37" s="8">
        <v>2.5299999999999998</v>
      </c>
      <c r="G37" s="12">
        <v>28</v>
      </c>
      <c r="H37" s="8">
        <v>2.16</v>
      </c>
      <c r="I37" s="12">
        <v>0</v>
      </c>
    </row>
    <row r="38" spans="2:9" ht="15" customHeight="1" x14ac:dyDescent="0.2">
      <c r="B38" t="s">
        <v>80</v>
      </c>
      <c r="C38" s="12">
        <v>70</v>
      </c>
      <c r="D38" s="8">
        <v>2.19</v>
      </c>
      <c r="E38" s="12">
        <v>44</v>
      </c>
      <c r="F38" s="8">
        <v>2.3199999999999998</v>
      </c>
      <c r="G38" s="12">
        <v>26</v>
      </c>
      <c r="H38" s="8">
        <v>2.0099999999999998</v>
      </c>
      <c r="I38" s="12">
        <v>0</v>
      </c>
    </row>
    <row r="39" spans="2:9" ht="15" customHeight="1" x14ac:dyDescent="0.2">
      <c r="B39" t="s">
        <v>86</v>
      </c>
      <c r="C39" s="12">
        <v>68</v>
      </c>
      <c r="D39" s="8">
        <v>2.12</v>
      </c>
      <c r="E39" s="12">
        <v>39</v>
      </c>
      <c r="F39" s="8">
        <v>2.0499999999999998</v>
      </c>
      <c r="G39" s="12">
        <v>29</v>
      </c>
      <c r="H39" s="8">
        <v>2.2400000000000002</v>
      </c>
      <c r="I39" s="12">
        <v>0</v>
      </c>
    </row>
    <row r="40" spans="2:9" ht="15" customHeight="1" x14ac:dyDescent="0.2">
      <c r="B40" t="s">
        <v>97</v>
      </c>
      <c r="C40" s="12">
        <v>67</v>
      </c>
      <c r="D40" s="8">
        <v>2.09</v>
      </c>
      <c r="E40" s="12">
        <v>21</v>
      </c>
      <c r="F40" s="8">
        <v>1.1100000000000001</v>
      </c>
      <c r="G40" s="12">
        <v>46</v>
      </c>
      <c r="H40" s="8">
        <v>3.55</v>
      </c>
      <c r="I40" s="12">
        <v>0</v>
      </c>
    </row>
    <row r="41" spans="2:9" ht="15" customHeight="1" x14ac:dyDescent="0.2">
      <c r="B41" t="s">
        <v>93</v>
      </c>
      <c r="C41" s="12">
        <v>61</v>
      </c>
      <c r="D41" s="8">
        <v>1.91</v>
      </c>
      <c r="E41" s="12">
        <v>1</v>
      </c>
      <c r="F41" s="8">
        <v>0.05</v>
      </c>
      <c r="G41" s="12">
        <v>59</v>
      </c>
      <c r="H41" s="8">
        <v>4.55</v>
      </c>
      <c r="I41" s="12">
        <v>0</v>
      </c>
    </row>
    <row r="42" spans="2:9" ht="15" customHeight="1" x14ac:dyDescent="0.2">
      <c r="B42" t="s">
        <v>91</v>
      </c>
      <c r="C42" s="12">
        <v>58</v>
      </c>
      <c r="D42" s="8">
        <v>1.81</v>
      </c>
      <c r="E42" s="12">
        <v>48</v>
      </c>
      <c r="F42" s="8">
        <v>2.5299999999999998</v>
      </c>
      <c r="G42" s="12">
        <v>8</v>
      </c>
      <c r="H42" s="8">
        <v>0.62</v>
      </c>
      <c r="I42" s="12">
        <v>2</v>
      </c>
    </row>
    <row r="43" spans="2:9" ht="15" customHeight="1" x14ac:dyDescent="0.2">
      <c r="B43" t="s">
        <v>84</v>
      </c>
      <c r="C43" s="12">
        <v>56</v>
      </c>
      <c r="D43" s="8">
        <v>1.75</v>
      </c>
      <c r="E43" s="12">
        <v>11</v>
      </c>
      <c r="F43" s="8">
        <v>0.57999999999999996</v>
      </c>
      <c r="G43" s="12">
        <v>45</v>
      </c>
      <c r="H43" s="8">
        <v>3.47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136</v>
      </c>
      <c r="C47" s="12">
        <v>138</v>
      </c>
      <c r="D47" s="8">
        <v>4.3099999999999996</v>
      </c>
      <c r="E47" s="12">
        <v>132</v>
      </c>
      <c r="F47" s="8">
        <v>6.95</v>
      </c>
      <c r="G47" s="12">
        <v>6</v>
      </c>
      <c r="H47" s="8">
        <v>0.46</v>
      </c>
      <c r="I47" s="12">
        <v>0</v>
      </c>
    </row>
    <row r="48" spans="2:9" ht="15" customHeight="1" x14ac:dyDescent="0.2">
      <c r="B48" t="s">
        <v>155</v>
      </c>
      <c r="C48" s="12">
        <v>116</v>
      </c>
      <c r="D48" s="8">
        <v>3.62</v>
      </c>
      <c r="E48" s="12">
        <v>101</v>
      </c>
      <c r="F48" s="8">
        <v>5.32</v>
      </c>
      <c r="G48" s="12">
        <v>15</v>
      </c>
      <c r="H48" s="8">
        <v>1.1599999999999999</v>
      </c>
      <c r="I48" s="12">
        <v>0</v>
      </c>
    </row>
    <row r="49" spans="2:9" ht="15" customHeight="1" x14ac:dyDescent="0.2">
      <c r="B49" t="s">
        <v>138</v>
      </c>
      <c r="C49" s="12">
        <v>113</v>
      </c>
      <c r="D49" s="8">
        <v>3.53</v>
      </c>
      <c r="E49" s="12">
        <v>103</v>
      </c>
      <c r="F49" s="8">
        <v>5.42</v>
      </c>
      <c r="G49" s="12">
        <v>10</v>
      </c>
      <c r="H49" s="8">
        <v>0.77</v>
      </c>
      <c r="I49" s="12">
        <v>0</v>
      </c>
    </row>
    <row r="50" spans="2:9" ht="15" customHeight="1" x14ac:dyDescent="0.2">
      <c r="B50" t="s">
        <v>132</v>
      </c>
      <c r="C50" s="12">
        <v>112</v>
      </c>
      <c r="D50" s="8">
        <v>3.5</v>
      </c>
      <c r="E50" s="12">
        <v>52</v>
      </c>
      <c r="F50" s="8">
        <v>2.74</v>
      </c>
      <c r="G50" s="12">
        <v>60</v>
      </c>
      <c r="H50" s="8">
        <v>4.63</v>
      </c>
      <c r="I50" s="12">
        <v>0</v>
      </c>
    </row>
    <row r="51" spans="2:9" ht="15" customHeight="1" x14ac:dyDescent="0.2">
      <c r="B51" t="s">
        <v>133</v>
      </c>
      <c r="C51" s="12">
        <v>97</v>
      </c>
      <c r="D51" s="8">
        <v>3.03</v>
      </c>
      <c r="E51" s="12">
        <v>83</v>
      </c>
      <c r="F51" s="8">
        <v>4.37</v>
      </c>
      <c r="G51" s="12">
        <v>14</v>
      </c>
      <c r="H51" s="8">
        <v>1.08</v>
      </c>
      <c r="I51" s="12">
        <v>0</v>
      </c>
    </row>
    <row r="52" spans="2:9" ht="15" customHeight="1" x14ac:dyDescent="0.2">
      <c r="B52" t="s">
        <v>141</v>
      </c>
      <c r="C52" s="12">
        <v>73</v>
      </c>
      <c r="D52" s="8">
        <v>2.2799999999999998</v>
      </c>
      <c r="E52" s="12">
        <v>65</v>
      </c>
      <c r="F52" s="8">
        <v>3.42</v>
      </c>
      <c r="G52" s="12">
        <v>8</v>
      </c>
      <c r="H52" s="8">
        <v>0.62</v>
      </c>
      <c r="I52" s="12">
        <v>0</v>
      </c>
    </row>
    <row r="53" spans="2:9" ht="15" customHeight="1" x14ac:dyDescent="0.2">
      <c r="B53" t="s">
        <v>126</v>
      </c>
      <c r="C53" s="12">
        <v>72</v>
      </c>
      <c r="D53" s="8">
        <v>2.25</v>
      </c>
      <c r="E53" s="12">
        <v>53</v>
      </c>
      <c r="F53" s="8">
        <v>2.79</v>
      </c>
      <c r="G53" s="12">
        <v>19</v>
      </c>
      <c r="H53" s="8">
        <v>1.47</v>
      </c>
      <c r="I53" s="12">
        <v>0</v>
      </c>
    </row>
    <row r="54" spans="2:9" ht="15" customHeight="1" x14ac:dyDescent="0.2">
      <c r="B54" t="s">
        <v>137</v>
      </c>
      <c r="C54" s="12">
        <v>71</v>
      </c>
      <c r="D54" s="8">
        <v>2.2200000000000002</v>
      </c>
      <c r="E54" s="12">
        <v>70</v>
      </c>
      <c r="F54" s="8">
        <v>3.68</v>
      </c>
      <c r="G54" s="12">
        <v>1</v>
      </c>
      <c r="H54" s="8">
        <v>0.08</v>
      </c>
      <c r="I54" s="12">
        <v>0</v>
      </c>
    </row>
    <row r="55" spans="2:9" ht="15" customHeight="1" x14ac:dyDescent="0.2">
      <c r="B55" t="s">
        <v>129</v>
      </c>
      <c r="C55" s="12">
        <v>68</v>
      </c>
      <c r="D55" s="8">
        <v>2.12</v>
      </c>
      <c r="E55" s="12">
        <v>48</v>
      </c>
      <c r="F55" s="8">
        <v>2.5299999999999998</v>
      </c>
      <c r="G55" s="12">
        <v>20</v>
      </c>
      <c r="H55" s="8">
        <v>1.54</v>
      </c>
      <c r="I55" s="12">
        <v>0</v>
      </c>
    </row>
    <row r="56" spans="2:9" ht="15" customHeight="1" x14ac:dyDescent="0.2">
      <c r="B56" t="s">
        <v>142</v>
      </c>
      <c r="C56" s="12">
        <v>67</v>
      </c>
      <c r="D56" s="8">
        <v>2.09</v>
      </c>
      <c r="E56" s="12">
        <v>47</v>
      </c>
      <c r="F56" s="8">
        <v>2.4700000000000002</v>
      </c>
      <c r="G56" s="12">
        <v>20</v>
      </c>
      <c r="H56" s="8">
        <v>1.54</v>
      </c>
      <c r="I56" s="12">
        <v>0</v>
      </c>
    </row>
    <row r="57" spans="2:9" ht="15" customHeight="1" x14ac:dyDescent="0.2">
      <c r="B57" t="s">
        <v>145</v>
      </c>
      <c r="C57" s="12">
        <v>66</v>
      </c>
      <c r="D57" s="8">
        <v>2.06</v>
      </c>
      <c r="E57" s="12">
        <v>64</v>
      </c>
      <c r="F57" s="8">
        <v>3.37</v>
      </c>
      <c r="G57" s="12">
        <v>2</v>
      </c>
      <c r="H57" s="8">
        <v>0.15</v>
      </c>
      <c r="I57" s="12">
        <v>0</v>
      </c>
    </row>
    <row r="58" spans="2:9" ht="15" customHeight="1" x14ac:dyDescent="0.2">
      <c r="B58" t="s">
        <v>134</v>
      </c>
      <c r="C58" s="12">
        <v>59</v>
      </c>
      <c r="D58" s="8">
        <v>1.84</v>
      </c>
      <c r="E58" s="12">
        <v>59</v>
      </c>
      <c r="F58" s="8">
        <v>3.11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156</v>
      </c>
      <c r="C59" s="12">
        <v>52</v>
      </c>
      <c r="D59" s="8">
        <v>1.62</v>
      </c>
      <c r="E59" s="12">
        <v>49</v>
      </c>
      <c r="F59" s="8">
        <v>2.58</v>
      </c>
      <c r="G59" s="12">
        <v>3</v>
      </c>
      <c r="H59" s="8">
        <v>0.23</v>
      </c>
      <c r="I59" s="12">
        <v>0</v>
      </c>
    </row>
    <row r="60" spans="2:9" ht="15" customHeight="1" x14ac:dyDescent="0.2">
      <c r="B60" t="s">
        <v>157</v>
      </c>
      <c r="C60" s="12">
        <v>51</v>
      </c>
      <c r="D60" s="8">
        <v>1.59</v>
      </c>
      <c r="E60" s="12">
        <v>39</v>
      </c>
      <c r="F60" s="8">
        <v>2.0499999999999998</v>
      </c>
      <c r="G60" s="12">
        <v>12</v>
      </c>
      <c r="H60" s="8">
        <v>0.93</v>
      </c>
      <c r="I60" s="12">
        <v>0</v>
      </c>
    </row>
    <row r="61" spans="2:9" ht="15" customHeight="1" x14ac:dyDescent="0.2">
      <c r="B61" t="s">
        <v>154</v>
      </c>
      <c r="C61" s="12">
        <v>50</v>
      </c>
      <c r="D61" s="8">
        <v>1.56</v>
      </c>
      <c r="E61" s="12">
        <v>41</v>
      </c>
      <c r="F61" s="8">
        <v>2.16</v>
      </c>
      <c r="G61" s="12">
        <v>9</v>
      </c>
      <c r="H61" s="8">
        <v>0.69</v>
      </c>
      <c r="I61" s="12">
        <v>0</v>
      </c>
    </row>
    <row r="62" spans="2:9" ht="15" customHeight="1" x14ac:dyDescent="0.2">
      <c r="B62" t="s">
        <v>130</v>
      </c>
      <c r="C62" s="12">
        <v>46</v>
      </c>
      <c r="D62" s="8">
        <v>1.44</v>
      </c>
      <c r="E62" s="12">
        <v>10</v>
      </c>
      <c r="F62" s="8">
        <v>0.53</v>
      </c>
      <c r="G62" s="12">
        <v>36</v>
      </c>
      <c r="H62" s="8">
        <v>2.78</v>
      </c>
      <c r="I62" s="12">
        <v>0</v>
      </c>
    </row>
    <row r="63" spans="2:9" ht="15" customHeight="1" x14ac:dyDescent="0.2">
      <c r="B63" t="s">
        <v>158</v>
      </c>
      <c r="C63" s="12">
        <v>45</v>
      </c>
      <c r="D63" s="8">
        <v>1.41</v>
      </c>
      <c r="E63" s="12">
        <v>24</v>
      </c>
      <c r="F63" s="8">
        <v>1.26</v>
      </c>
      <c r="G63" s="12">
        <v>21</v>
      </c>
      <c r="H63" s="8">
        <v>1.62</v>
      </c>
      <c r="I63" s="12">
        <v>0</v>
      </c>
    </row>
    <row r="64" spans="2:9" ht="15" customHeight="1" x14ac:dyDescent="0.2">
      <c r="B64" t="s">
        <v>146</v>
      </c>
      <c r="C64" s="12">
        <v>41</v>
      </c>
      <c r="D64" s="8">
        <v>1.28</v>
      </c>
      <c r="E64" s="12">
        <v>32</v>
      </c>
      <c r="F64" s="8">
        <v>1.68</v>
      </c>
      <c r="G64" s="12">
        <v>9</v>
      </c>
      <c r="H64" s="8">
        <v>0.69</v>
      </c>
      <c r="I64" s="12">
        <v>0</v>
      </c>
    </row>
    <row r="65" spans="2:9" ht="15" customHeight="1" x14ac:dyDescent="0.2">
      <c r="B65" t="s">
        <v>140</v>
      </c>
      <c r="C65" s="12">
        <v>39</v>
      </c>
      <c r="D65" s="8">
        <v>1.22</v>
      </c>
      <c r="E65" s="12">
        <v>33</v>
      </c>
      <c r="F65" s="8">
        <v>1.74</v>
      </c>
      <c r="G65" s="12">
        <v>4</v>
      </c>
      <c r="H65" s="8">
        <v>0.31</v>
      </c>
      <c r="I65" s="12">
        <v>2</v>
      </c>
    </row>
    <row r="66" spans="2:9" ht="15" customHeight="1" x14ac:dyDescent="0.2">
      <c r="B66" t="s">
        <v>124</v>
      </c>
      <c r="C66" s="12">
        <v>38</v>
      </c>
      <c r="D66" s="8">
        <v>1.19</v>
      </c>
      <c r="E66" s="12">
        <v>9</v>
      </c>
      <c r="F66" s="8">
        <v>0.47</v>
      </c>
      <c r="G66" s="12">
        <v>29</v>
      </c>
      <c r="H66" s="8">
        <v>2.2400000000000002</v>
      </c>
      <c r="I66" s="12">
        <v>0</v>
      </c>
    </row>
    <row r="67" spans="2:9" ht="15" customHeight="1" x14ac:dyDescent="0.2">
      <c r="B67" t="s">
        <v>128</v>
      </c>
      <c r="C67" s="12">
        <v>38</v>
      </c>
      <c r="D67" s="8">
        <v>1.19</v>
      </c>
      <c r="E67" s="12">
        <v>15</v>
      </c>
      <c r="F67" s="8">
        <v>0.79</v>
      </c>
      <c r="G67" s="12">
        <v>23</v>
      </c>
      <c r="H67" s="8">
        <v>1.77</v>
      </c>
      <c r="I67" s="12">
        <v>0</v>
      </c>
    </row>
    <row r="69" spans="2:9" ht="15" customHeight="1" x14ac:dyDescent="0.2">
      <c r="B69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A1C82-0317-4935-B017-3A5FCCEA899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224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226</v>
      </c>
      <c r="D6" s="8">
        <v>10.039999999999999</v>
      </c>
      <c r="E6" s="12">
        <v>54</v>
      </c>
      <c r="F6" s="8">
        <v>4.82</v>
      </c>
      <c r="G6" s="12">
        <v>172</v>
      </c>
      <c r="H6" s="8">
        <v>15.26</v>
      </c>
      <c r="I6" s="12">
        <v>0</v>
      </c>
    </row>
    <row r="7" spans="2:9" ht="15" customHeight="1" x14ac:dyDescent="0.2">
      <c r="B7" t="s">
        <v>53</v>
      </c>
      <c r="C7" s="12">
        <v>147</v>
      </c>
      <c r="D7" s="8">
        <v>6.53</v>
      </c>
      <c r="E7" s="12">
        <v>74</v>
      </c>
      <c r="F7" s="8">
        <v>6.61</v>
      </c>
      <c r="G7" s="12">
        <v>73</v>
      </c>
      <c r="H7" s="8">
        <v>6.48</v>
      </c>
      <c r="I7" s="12">
        <v>0</v>
      </c>
    </row>
    <row r="8" spans="2:9" ht="15" customHeight="1" x14ac:dyDescent="0.2">
      <c r="B8" t="s">
        <v>54</v>
      </c>
      <c r="C8" s="12">
        <v>3</v>
      </c>
      <c r="D8" s="8">
        <v>0.13</v>
      </c>
      <c r="E8" s="12">
        <v>0</v>
      </c>
      <c r="F8" s="8">
        <v>0</v>
      </c>
      <c r="G8" s="12">
        <v>3</v>
      </c>
      <c r="H8" s="8">
        <v>0.27</v>
      </c>
      <c r="I8" s="12">
        <v>0</v>
      </c>
    </row>
    <row r="9" spans="2:9" ht="15" customHeight="1" x14ac:dyDescent="0.2">
      <c r="B9" t="s">
        <v>55</v>
      </c>
      <c r="C9" s="12">
        <v>30</v>
      </c>
      <c r="D9" s="8">
        <v>1.33</v>
      </c>
      <c r="E9" s="12">
        <v>1</v>
      </c>
      <c r="F9" s="8">
        <v>0.09</v>
      </c>
      <c r="G9" s="12">
        <v>29</v>
      </c>
      <c r="H9" s="8">
        <v>2.57</v>
      </c>
      <c r="I9" s="12">
        <v>0</v>
      </c>
    </row>
    <row r="10" spans="2:9" ht="15" customHeight="1" x14ac:dyDescent="0.2">
      <c r="B10" t="s">
        <v>56</v>
      </c>
      <c r="C10" s="12">
        <v>47</v>
      </c>
      <c r="D10" s="8">
        <v>2.09</v>
      </c>
      <c r="E10" s="12">
        <v>17</v>
      </c>
      <c r="F10" s="8">
        <v>1.52</v>
      </c>
      <c r="G10" s="12">
        <v>30</v>
      </c>
      <c r="H10" s="8">
        <v>2.66</v>
      </c>
      <c r="I10" s="12">
        <v>0</v>
      </c>
    </row>
    <row r="11" spans="2:9" ht="15" customHeight="1" x14ac:dyDescent="0.2">
      <c r="B11" t="s">
        <v>57</v>
      </c>
      <c r="C11" s="12">
        <v>502</v>
      </c>
      <c r="D11" s="8">
        <v>22.31</v>
      </c>
      <c r="E11" s="12">
        <v>212</v>
      </c>
      <c r="F11" s="8">
        <v>18.93</v>
      </c>
      <c r="G11" s="12">
        <v>290</v>
      </c>
      <c r="H11" s="8">
        <v>25.73</v>
      </c>
      <c r="I11" s="12">
        <v>0</v>
      </c>
    </row>
    <row r="12" spans="2:9" ht="15" customHeight="1" x14ac:dyDescent="0.2">
      <c r="B12" t="s">
        <v>58</v>
      </c>
      <c r="C12" s="12">
        <v>11</v>
      </c>
      <c r="D12" s="8">
        <v>0.49</v>
      </c>
      <c r="E12" s="12">
        <v>2</v>
      </c>
      <c r="F12" s="8">
        <v>0.18</v>
      </c>
      <c r="G12" s="12">
        <v>9</v>
      </c>
      <c r="H12" s="8">
        <v>0.8</v>
      </c>
      <c r="I12" s="12">
        <v>0</v>
      </c>
    </row>
    <row r="13" spans="2:9" ht="15" customHeight="1" x14ac:dyDescent="0.2">
      <c r="B13" t="s">
        <v>59</v>
      </c>
      <c r="C13" s="12">
        <v>301</v>
      </c>
      <c r="D13" s="8">
        <v>13.38</v>
      </c>
      <c r="E13" s="12">
        <v>74</v>
      </c>
      <c r="F13" s="8">
        <v>6.61</v>
      </c>
      <c r="G13" s="12">
        <v>227</v>
      </c>
      <c r="H13" s="8">
        <v>20.14</v>
      </c>
      <c r="I13" s="12">
        <v>0</v>
      </c>
    </row>
    <row r="14" spans="2:9" ht="15" customHeight="1" x14ac:dyDescent="0.2">
      <c r="B14" t="s">
        <v>60</v>
      </c>
      <c r="C14" s="12">
        <v>132</v>
      </c>
      <c r="D14" s="8">
        <v>5.87</v>
      </c>
      <c r="E14" s="12">
        <v>55</v>
      </c>
      <c r="F14" s="8">
        <v>4.91</v>
      </c>
      <c r="G14" s="12">
        <v>76</v>
      </c>
      <c r="H14" s="8">
        <v>6.74</v>
      </c>
      <c r="I14" s="12">
        <v>0</v>
      </c>
    </row>
    <row r="15" spans="2:9" ht="15" customHeight="1" x14ac:dyDescent="0.2">
      <c r="B15" t="s">
        <v>61</v>
      </c>
      <c r="C15" s="12">
        <v>309</v>
      </c>
      <c r="D15" s="8">
        <v>13.73</v>
      </c>
      <c r="E15" s="12">
        <v>269</v>
      </c>
      <c r="F15" s="8">
        <v>24.02</v>
      </c>
      <c r="G15" s="12">
        <v>40</v>
      </c>
      <c r="H15" s="8">
        <v>3.55</v>
      </c>
      <c r="I15" s="12">
        <v>0</v>
      </c>
    </row>
    <row r="16" spans="2:9" ht="15" customHeight="1" x14ac:dyDescent="0.2">
      <c r="B16" t="s">
        <v>62</v>
      </c>
      <c r="C16" s="12">
        <v>237</v>
      </c>
      <c r="D16" s="8">
        <v>10.53</v>
      </c>
      <c r="E16" s="12">
        <v>186</v>
      </c>
      <c r="F16" s="8">
        <v>16.61</v>
      </c>
      <c r="G16" s="12">
        <v>51</v>
      </c>
      <c r="H16" s="8">
        <v>4.53</v>
      </c>
      <c r="I16" s="12">
        <v>0</v>
      </c>
    </row>
    <row r="17" spans="2:9" ht="15" customHeight="1" x14ac:dyDescent="0.2">
      <c r="B17" t="s">
        <v>63</v>
      </c>
      <c r="C17" s="12">
        <v>95</v>
      </c>
      <c r="D17" s="8">
        <v>4.22</v>
      </c>
      <c r="E17" s="12">
        <v>70</v>
      </c>
      <c r="F17" s="8">
        <v>6.25</v>
      </c>
      <c r="G17" s="12">
        <v>24</v>
      </c>
      <c r="H17" s="8">
        <v>2.13</v>
      </c>
      <c r="I17" s="12">
        <v>1</v>
      </c>
    </row>
    <row r="18" spans="2:9" ht="15" customHeight="1" x14ac:dyDescent="0.2">
      <c r="B18" t="s">
        <v>64</v>
      </c>
      <c r="C18" s="12">
        <v>145</v>
      </c>
      <c r="D18" s="8">
        <v>6.44</v>
      </c>
      <c r="E18" s="12">
        <v>87</v>
      </c>
      <c r="F18" s="8">
        <v>7.77</v>
      </c>
      <c r="G18" s="12">
        <v>57</v>
      </c>
      <c r="H18" s="8">
        <v>5.0599999999999996</v>
      </c>
      <c r="I18" s="12">
        <v>0</v>
      </c>
    </row>
    <row r="19" spans="2:9" ht="15" customHeight="1" x14ac:dyDescent="0.2">
      <c r="B19" t="s">
        <v>65</v>
      </c>
      <c r="C19" s="12">
        <v>65</v>
      </c>
      <c r="D19" s="8">
        <v>2.89</v>
      </c>
      <c r="E19" s="12">
        <v>19</v>
      </c>
      <c r="F19" s="8">
        <v>1.7</v>
      </c>
      <c r="G19" s="12">
        <v>46</v>
      </c>
      <c r="H19" s="8">
        <v>4.08</v>
      </c>
      <c r="I19" s="12">
        <v>0</v>
      </c>
    </row>
    <row r="20" spans="2:9" ht="15" customHeight="1" x14ac:dyDescent="0.2">
      <c r="B20" s="9" t="s">
        <v>215</v>
      </c>
      <c r="C20" s="12">
        <f>SUM(LTBL_28107[総数／事業所数])</f>
        <v>2250</v>
      </c>
      <c r="E20" s="12">
        <f>SUBTOTAL(109,LTBL_28107[個人／事業所数])</f>
        <v>1120</v>
      </c>
      <c r="G20" s="12">
        <f>SUBTOTAL(109,LTBL_28107[法人／事業所数])</f>
        <v>1127</v>
      </c>
      <c r="I20" s="12">
        <f>SUBTOTAL(109,LTBL_28107[法人以外の団体／事業所数])</f>
        <v>1</v>
      </c>
    </row>
    <row r="21" spans="2:9" ht="15" customHeight="1" x14ac:dyDescent="0.2">
      <c r="E21" s="11">
        <f>LTBL_28107[[#Totals],[個人／事業所数]]/LTBL_28107[[#Totals],[総数／事業所数]]</f>
        <v>0.49777777777777776</v>
      </c>
      <c r="G21" s="11">
        <f>LTBL_28107[[#Totals],[法人／事業所数]]/LTBL_28107[[#Totals],[総数／事業所数]]</f>
        <v>0.50088888888888894</v>
      </c>
      <c r="I21" s="11">
        <f>LTBL_28107[[#Totals],[法人以外の団体／事業所数]]/LTBL_28107[[#Totals],[総数／事業所数]]</f>
        <v>4.4444444444444447E-4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284</v>
      </c>
      <c r="D24" s="8">
        <v>12.62</v>
      </c>
      <c r="E24" s="12">
        <v>256</v>
      </c>
      <c r="F24" s="8">
        <v>22.86</v>
      </c>
      <c r="G24" s="12">
        <v>28</v>
      </c>
      <c r="H24" s="8">
        <v>2.48</v>
      </c>
      <c r="I24" s="12">
        <v>0</v>
      </c>
    </row>
    <row r="25" spans="2:9" ht="15" customHeight="1" x14ac:dyDescent="0.2">
      <c r="B25" t="s">
        <v>85</v>
      </c>
      <c r="C25" s="12">
        <v>224</v>
      </c>
      <c r="D25" s="8">
        <v>9.9600000000000009</v>
      </c>
      <c r="E25" s="12">
        <v>59</v>
      </c>
      <c r="F25" s="8">
        <v>5.27</v>
      </c>
      <c r="G25" s="12">
        <v>165</v>
      </c>
      <c r="H25" s="8">
        <v>14.64</v>
      </c>
      <c r="I25" s="12">
        <v>0</v>
      </c>
    </row>
    <row r="26" spans="2:9" ht="15" customHeight="1" x14ac:dyDescent="0.2">
      <c r="B26" t="s">
        <v>89</v>
      </c>
      <c r="C26" s="12">
        <v>198</v>
      </c>
      <c r="D26" s="8">
        <v>8.8000000000000007</v>
      </c>
      <c r="E26" s="12">
        <v>167</v>
      </c>
      <c r="F26" s="8">
        <v>14.91</v>
      </c>
      <c r="G26" s="12">
        <v>31</v>
      </c>
      <c r="H26" s="8">
        <v>2.75</v>
      </c>
      <c r="I26" s="12">
        <v>0</v>
      </c>
    </row>
    <row r="27" spans="2:9" ht="15" customHeight="1" x14ac:dyDescent="0.2">
      <c r="B27" t="s">
        <v>81</v>
      </c>
      <c r="C27" s="12">
        <v>118</v>
      </c>
      <c r="D27" s="8">
        <v>5.24</v>
      </c>
      <c r="E27" s="12">
        <v>70</v>
      </c>
      <c r="F27" s="8">
        <v>6.25</v>
      </c>
      <c r="G27" s="12">
        <v>48</v>
      </c>
      <c r="H27" s="8">
        <v>4.26</v>
      </c>
      <c r="I27" s="12">
        <v>0</v>
      </c>
    </row>
    <row r="28" spans="2:9" ht="15" customHeight="1" x14ac:dyDescent="0.2">
      <c r="B28" t="s">
        <v>83</v>
      </c>
      <c r="C28" s="12">
        <v>111</v>
      </c>
      <c r="D28" s="8">
        <v>4.93</v>
      </c>
      <c r="E28" s="12">
        <v>54</v>
      </c>
      <c r="F28" s="8">
        <v>4.82</v>
      </c>
      <c r="G28" s="12">
        <v>57</v>
      </c>
      <c r="H28" s="8">
        <v>5.0599999999999996</v>
      </c>
      <c r="I28" s="12">
        <v>0</v>
      </c>
    </row>
    <row r="29" spans="2:9" ht="15" customHeight="1" x14ac:dyDescent="0.2">
      <c r="B29" t="s">
        <v>74</v>
      </c>
      <c r="C29" s="12">
        <v>96</v>
      </c>
      <c r="D29" s="8">
        <v>4.2699999999999996</v>
      </c>
      <c r="E29" s="12">
        <v>18</v>
      </c>
      <c r="F29" s="8">
        <v>1.61</v>
      </c>
      <c r="G29" s="12">
        <v>78</v>
      </c>
      <c r="H29" s="8">
        <v>6.92</v>
      </c>
      <c r="I29" s="12">
        <v>0</v>
      </c>
    </row>
    <row r="30" spans="2:9" ht="15" customHeight="1" x14ac:dyDescent="0.2">
      <c r="B30" t="s">
        <v>91</v>
      </c>
      <c r="C30" s="12">
        <v>95</v>
      </c>
      <c r="D30" s="8">
        <v>4.22</v>
      </c>
      <c r="E30" s="12">
        <v>70</v>
      </c>
      <c r="F30" s="8">
        <v>6.25</v>
      </c>
      <c r="G30" s="12">
        <v>24</v>
      </c>
      <c r="H30" s="8">
        <v>2.13</v>
      </c>
      <c r="I30" s="12">
        <v>1</v>
      </c>
    </row>
    <row r="31" spans="2:9" ht="15" customHeight="1" x14ac:dyDescent="0.2">
      <c r="B31" t="s">
        <v>92</v>
      </c>
      <c r="C31" s="12">
        <v>89</v>
      </c>
      <c r="D31" s="8">
        <v>3.96</v>
      </c>
      <c r="E31" s="12">
        <v>84</v>
      </c>
      <c r="F31" s="8">
        <v>7.5</v>
      </c>
      <c r="G31" s="12">
        <v>5</v>
      </c>
      <c r="H31" s="8">
        <v>0.44</v>
      </c>
      <c r="I31" s="12">
        <v>0</v>
      </c>
    </row>
    <row r="32" spans="2:9" ht="15" customHeight="1" x14ac:dyDescent="0.2">
      <c r="B32" t="s">
        <v>76</v>
      </c>
      <c r="C32" s="12">
        <v>73</v>
      </c>
      <c r="D32" s="8">
        <v>3.24</v>
      </c>
      <c r="E32" s="12">
        <v>21</v>
      </c>
      <c r="F32" s="8">
        <v>1.88</v>
      </c>
      <c r="G32" s="12">
        <v>52</v>
      </c>
      <c r="H32" s="8">
        <v>4.6100000000000003</v>
      </c>
      <c r="I32" s="12">
        <v>0</v>
      </c>
    </row>
    <row r="33" spans="2:9" ht="15" customHeight="1" x14ac:dyDescent="0.2">
      <c r="B33" t="s">
        <v>86</v>
      </c>
      <c r="C33" s="12">
        <v>73</v>
      </c>
      <c r="D33" s="8">
        <v>3.24</v>
      </c>
      <c r="E33" s="12">
        <v>33</v>
      </c>
      <c r="F33" s="8">
        <v>2.95</v>
      </c>
      <c r="G33" s="12">
        <v>40</v>
      </c>
      <c r="H33" s="8">
        <v>3.55</v>
      </c>
      <c r="I33" s="12">
        <v>0</v>
      </c>
    </row>
    <row r="34" spans="2:9" ht="15" customHeight="1" x14ac:dyDescent="0.2">
      <c r="B34" t="s">
        <v>80</v>
      </c>
      <c r="C34" s="12">
        <v>69</v>
      </c>
      <c r="D34" s="8">
        <v>3.07</v>
      </c>
      <c r="E34" s="12">
        <v>34</v>
      </c>
      <c r="F34" s="8">
        <v>3.04</v>
      </c>
      <c r="G34" s="12">
        <v>35</v>
      </c>
      <c r="H34" s="8">
        <v>3.11</v>
      </c>
      <c r="I34" s="12">
        <v>0</v>
      </c>
    </row>
    <row r="35" spans="2:9" ht="15" customHeight="1" x14ac:dyDescent="0.2">
      <c r="B35" t="s">
        <v>84</v>
      </c>
      <c r="C35" s="12">
        <v>67</v>
      </c>
      <c r="D35" s="8">
        <v>2.98</v>
      </c>
      <c r="E35" s="12">
        <v>15</v>
      </c>
      <c r="F35" s="8">
        <v>1.34</v>
      </c>
      <c r="G35" s="12">
        <v>52</v>
      </c>
      <c r="H35" s="8">
        <v>4.6100000000000003</v>
      </c>
      <c r="I35" s="12">
        <v>0</v>
      </c>
    </row>
    <row r="36" spans="2:9" ht="15" customHeight="1" x14ac:dyDescent="0.2">
      <c r="B36" t="s">
        <v>75</v>
      </c>
      <c r="C36" s="12">
        <v>57</v>
      </c>
      <c r="D36" s="8">
        <v>2.5299999999999998</v>
      </c>
      <c r="E36" s="12">
        <v>15</v>
      </c>
      <c r="F36" s="8">
        <v>1.34</v>
      </c>
      <c r="G36" s="12">
        <v>42</v>
      </c>
      <c r="H36" s="8">
        <v>3.73</v>
      </c>
      <c r="I36" s="12">
        <v>0</v>
      </c>
    </row>
    <row r="37" spans="2:9" ht="15" customHeight="1" x14ac:dyDescent="0.2">
      <c r="B37" t="s">
        <v>87</v>
      </c>
      <c r="C37" s="12">
        <v>57</v>
      </c>
      <c r="D37" s="8">
        <v>2.5299999999999998</v>
      </c>
      <c r="E37" s="12">
        <v>22</v>
      </c>
      <c r="F37" s="8">
        <v>1.96</v>
      </c>
      <c r="G37" s="12">
        <v>34</v>
      </c>
      <c r="H37" s="8">
        <v>3.02</v>
      </c>
      <c r="I37" s="12">
        <v>0</v>
      </c>
    </row>
    <row r="38" spans="2:9" ht="15" customHeight="1" x14ac:dyDescent="0.2">
      <c r="B38" t="s">
        <v>93</v>
      </c>
      <c r="C38" s="12">
        <v>56</v>
      </c>
      <c r="D38" s="8">
        <v>2.4900000000000002</v>
      </c>
      <c r="E38" s="12">
        <v>3</v>
      </c>
      <c r="F38" s="8">
        <v>0.27</v>
      </c>
      <c r="G38" s="12">
        <v>52</v>
      </c>
      <c r="H38" s="8">
        <v>4.6100000000000003</v>
      </c>
      <c r="I38" s="12">
        <v>0</v>
      </c>
    </row>
    <row r="39" spans="2:9" ht="15" customHeight="1" x14ac:dyDescent="0.2">
      <c r="B39" t="s">
        <v>82</v>
      </c>
      <c r="C39" s="12">
        <v>47</v>
      </c>
      <c r="D39" s="8">
        <v>2.09</v>
      </c>
      <c r="E39" s="12">
        <v>29</v>
      </c>
      <c r="F39" s="8">
        <v>2.59</v>
      </c>
      <c r="G39" s="12">
        <v>18</v>
      </c>
      <c r="H39" s="8">
        <v>1.6</v>
      </c>
      <c r="I39" s="12">
        <v>0</v>
      </c>
    </row>
    <row r="40" spans="2:9" ht="15" customHeight="1" x14ac:dyDescent="0.2">
      <c r="B40" t="s">
        <v>98</v>
      </c>
      <c r="C40" s="12">
        <v>34</v>
      </c>
      <c r="D40" s="8">
        <v>1.51</v>
      </c>
      <c r="E40" s="12">
        <v>26</v>
      </c>
      <c r="F40" s="8">
        <v>2.3199999999999998</v>
      </c>
      <c r="G40" s="12">
        <v>8</v>
      </c>
      <c r="H40" s="8">
        <v>0.71</v>
      </c>
      <c r="I40" s="12">
        <v>0</v>
      </c>
    </row>
    <row r="41" spans="2:9" ht="15" customHeight="1" x14ac:dyDescent="0.2">
      <c r="B41" t="s">
        <v>101</v>
      </c>
      <c r="C41" s="12">
        <v>30</v>
      </c>
      <c r="D41" s="8">
        <v>1.33</v>
      </c>
      <c r="E41" s="12">
        <v>6</v>
      </c>
      <c r="F41" s="8">
        <v>0.54</v>
      </c>
      <c r="G41" s="12">
        <v>24</v>
      </c>
      <c r="H41" s="8">
        <v>2.13</v>
      </c>
      <c r="I41" s="12">
        <v>0</v>
      </c>
    </row>
    <row r="42" spans="2:9" ht="15" customHeight="1" x14ac:dyDescent="0.2">
      <c r="B42" t="s">
        <v>79</v>
      </c>
      <c r="C42" s="12">
        <v>28</v>
      </c>
      <c r="D42" s="8">
        <v>1.24</v>
      </c>
      <c r="E42" s="12">
        <v>4</v>
      </c>
      <c r="F42" s="8">
        <v>0.36</v>
      </c>
      <c r="G42" s="12">
        <v>24</v>
      </c>
      <c r="H42" s="8">
        <v>2.13</v>
      </c>
      <c r="I42" s="12">
        <v>0</v>
      </c>
    </row>
    <row r="43" spans="2:9" ht="15" customHeight="1" x14ac:dyDescent="0.2">
      <c r="B43" t="s">
        <v>97</v>
      </c>
      <c r="C43" s="12">
        <v>27</v>
      </c>
      <c r="D43" s="8">
        <v>1.2</v>
      </c>
      <c r="E43" s="12">
        <v>2</v>
      </c>
      <c r="F43" s="8">
        <v>0.18</v>
      </c>
      <c r="G43" s="12">
        <v>25</v>
      </c>
      <c r="H43" s="8">
        <v>2.2200000000000002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132</v>
      </c>
      <c r="C47" s="12">
        <v>114</v>
      </c>
      <c r="D47" s="8">
        <v>5.07</v>
      </c>
      <c r="E47" s="12">
        <v>31</v>
      </c>
      <c r="F47" s="8">
        <v>2.77</v>
      </c>
      <c r="G47" s="12">
        <v>83</v>
      </c>
      <c r="H47" s="8">
        <v>7.36</v>
      </c>
      <c r="I47" s="12">
        <v>0</v>
      </c>
    </row>
    <row r="48" spans="2:9" ht="15" customHeight="1" x14ac:dyDescent="0.2">
      <c r="B48" t="s">
        <v>138</v>
      </c>
      <c r="C48" s="12">
        <v>96</v>
      </c>
      <c r="D48" s="8">
        <v>4.2699999999999996</v>
      </c>
      <c r="E48" s="12">
        <v>84</v>
      </c>
      <c r="F48" s="8">
        <v>7.5</v>
      </c>
      <c r="G48" s="12">
        <v>12</v>
      </c>
      <c r="H48" s="8">
        <v>1.06</v>
      </c>
      <c r="I48" s="12">
        <v>0</v>
      </c>
    </row>
    <row r="49" spans="2:9" ht="15" customHeight="1" x14ac:dyDescent="0.2">
      <c r="B49" t="s">
        <v>136</v>
      </c>
      <c r="C49" s="12">
        <v>77</v>
      </c>
      <c r="D49" s="8">
        <v>3.42</v>
      </c>
      <c r="E49" s="12">
        <v>72</v>
      </c>
      <c r="F49" s="8">
        <v>6.43</v>
      </c>
      <c r="G49" s="12">
        <v>5</v>
      </c>
      <c r="H49" s="8">
        <v>0.44</v>
      </c>
      <c r="I49" s="12">
        <v>0</v>
      </c>
    </row>
    <row r="50" spans="2:9" ht="15" customHeight="1" x14ac:dyDescent="0.2">
      <c r="B50" t="s">
        <v>133</v>
      </c>
      <c r="C50" s="12">
        <v>69</v>
      </c>
      <c r="D50" s="8">
        <v>3.07</v>
      </c>
      <c r="E50" s="12">
        <v>57</v>
      </c>
      <c r="F50" s="8">
        <v>5.09</v>
      </c>
      <c r="G50" s="12">
        <v>12</v>
      </c>
      <c r="H50" s="8">
        <v>1.06</v>
      </c>
      <c r="I50" s="12">
        <v>0</v>
      </c>
    </row>
    <row r="51" spans="2:9" ht="15" customHeight="1" x14ac:dyDescent="0.2">
      <c r="B51" t="s">
        <v>137</v>
      </c>
      <c r="C51" s="12">
        <v>59</v>
      </c>
      <c r="D51" s="8">
        <v>2.62</v>
      </c>
      <c r="E51" s="12">
        <v>53</v>
      </c>
      <c r="F51" s="8">
        <v>4.7300000000000004</v>
      </c>
      <c r="G51" s="12">
        <v>6</v>
      </c>
      <c r="H51" s="8">
        <v>0.53</v>
      </c>
      <c r="I51" s="12">
        <v>0</v>
      </c>
    </row>
    <row r="52" spans="2:9" ht="15" customHeight="1" x14ac:dyDescent="0.2">
      <c r="B52" t="s">
        <v>141</v>
      </c>
      <c r="C52" s="12">
        <v>59</v>
      </c>
      <c r="D52" s="8">
        <v>2.62</v>
      </c>
      <c r="E52" s="12">
        <v>57</v>
      </c>
      <c r="F52" s="8">
        <v>5.09</v>
      </c>
      <c r="G52" s="12">
        <v>2</v>
      </c>
      <c r="H52" s="8">
        <v>0.18</v>
      </c>
      <c r="I52" s="12">
        <v>0</v>
      </c>
    </row>
    <row r="53" spans="2:9" ht="15" customHeight="1" x14ac:dyDescent="0.2">
      <c r="B53" t="s">
        <v>140</v>
      </c>
      <c r="C53" s="12">
        <v>58</v>
      </c>
      <c r="D53" s="8">
        <v>2.58</v>
      </c>
      <c r="E53" s="12">
        <v>46</v>
      </c>
      <c r="F53" s="8">
        <v>4.1100000000000003</v>
      </c>
      <c r="G53" s="12">
        <v>11</v>
      </c>
      <c r="H53" s="8">
        <v>0.98</v>
      </c>
      <c r="I53" s="12">
        <v>1</v>
      </c>
    </row>
    <row r="54" spans="2:9" ht="15" customHeight="1" x14ac:dyDescent="0.2">
      <c r="B54" t="s">
        <v>134</v>
      </c>
      <c r="C54" s="12">
        <v>54</v>
      </c>
      <c r="D54" s="8">
        <v>2.4</v>
      </c>
      <c r="E54" s="12">
        <v>52</v>
      </c>
      <c r="F54" s="8">
        <v>4.6399999999999997</v>
      </c>
      <c r="G54" s="12">
        <v>2</v>
      </c>
      <c r="H54" s="8">
        <v>0.18</v>
      </c>
      <c r="I54" s="12">
        <v>0</v>
      </c>
    </row>
    <row r="55" spans="2:9" ht="15" customHeight="1" x14ac:dyDescent="0.2">
      <c r="B55" t="s">
        <v>130</v>
      </c>
      <c r="C55" s="12">
        <v>53</v>
      </c>
      <c r="D55" s="8">
        <v>2.36</v>
      </c>
      <c r="E55" s="12">
        <v>12</v>
      </c>
      <c r="F55" s="8">
        <v>1.07</v>
      </c>
      <c r="G55" s="12">
        <v>41</v>
      </c>
      <c r="H55" s="8">
        <v>3.64</v>
      </c>
      <c r="I55" s="12">
        <v>0</v>
      </c>
    </row>
    <row r="56" spans="2:9" ht="15" customHeight="1" x14ac:dyDescent="0.2">
      <c r="B56" t="s">
        <v>126</v>
      </c>
      <c r="C56" s="12">
        <v>46</v>
      </c>
      <c r="D56" s="8">
        <v>2.04</v>
      </c>
      <c r="E56" s="12">
        <v>24</v>
      </c>
      <c r="F56" s="8">
        <v>2.14</v>
      </c>
      <c r="G56" s="12">
        <v>22</v>
      </c>
      <c r="H56" s="8">
        <v>1.95</v>
      </c>
      <c r="I56" s="12">
        <v>0</v>
      </c>
    </row>
    <row r="57" spans="2:9" ht="15" customHeight="1" x14ac:dyDescent="0.2">
      <c r="B57" t="s">
        <v>131</v>
      </c>
      <c r="C57" s="12">
        <v>46</v>
      </c>
      <c r="D57" s="8">
        <v>2.04</v>
      </c>
      <c r="E57" s="12">
        <v>6</v>
      </c>
      <c r="F57" s="8">
        <v>0.54</v>
      </c>
      <c r="G57" s="12">
        <v>40</v>
      </c>
      <c r="H57" s="8">
        <v>3.55</v>
      </c>
      <c r="I57" s="12">
        <v>0</v>
      </c>
    </row>
    <row r="58" spans="2:9" ht="15" customHeight="1" x14ac:dyDescent="0.2">
      <c r="B58" t="s">
        <v>150</v>
      </c>
      <c r="C58" s="12">
        <v>33</v>
      </c>
      <c r="D58" s="8">
        <v>1.47</v>
      </c>
      <c r="E58" s="12">
        <v>7</v>
      </c>
      <c r="F58" s="8">
        <v>0.63</v>
      </c>
      <c r="G58" s="12">
        <v>26</v>
      </c>
      <c r="H58" s="8">
        <v>2.31</v>
      </c>
      <c r="I58" s="12">
        <v>0</v>
      </c>
    </row>
    <row r="59" spans="2:9" ht="15" customHeight="1" x14ac:dyDescent="0.2">
      <c r="B59" t="s">
        <v>124</v>
      </c>
      <c r="C59" s="12">
        <v>33</v>
      </c>
      <c r="D59" s="8">
        <v>1.47</v>
      </c>
      <c r="E59" s="12">
        <v>10</v>
      </c>
      <c r="F59" s="8">
        <v>0.89</v>
      </c>
      <c r="G59" s="12">
        <v>23</v>
      </c>
      <c r="H59" s="8">
        <v>2.04</v>
      </c>
      <c r="I59" s="12">
        <v>0</v>
      </c>
    </row>
    <row r="60" spans="2:9" ht="15" customHeight="1" x14ac:dyDescent="0.2">
      <c r="B60" t="s">
        <v>128</v>
      </c>
      <c r="C60" s="12">
        <v>33</v>
      </c>
      <c r="D60" s="8">
        <v>1.47</v>
      </c>
      <c r="E60" s="12">
        <v>11</v>
      </c>
      <c r="F60" s="8">
        <v>0.98</v>
      </c>
      <c r="G60" s="12">
        <v>22</v>
      </c>
      <c r="H60" s="8">
        <v>1.95</v>
      </c>
      <c r="I60" s="12">
        <v>0</v>
      </c>
    </row>
    <row r="61" spans="2:9" ht="15" customHeight="1" x14ac:dyDescent="0.2">
      <c r="B61" t="s">
        <v>142</v>
      </c>
      <c r="C61" s="12">
        <v>33</v>
      </c>
      <c r="D61" s="8">
        <v>1.47</v>
      </c>
      <c r="E61" s="12">
        <v>20</v>
      </c>
      <c r="F61" s="8">
        <v>1.79</v>
      </c>
      <c r="G61" s="12">
        <v>13</v>
      </c>
      <c r="H61" s="8">
        <v>1.1499999999999999</v>
      </c>
      <c r="I61" s="12">
        <v>0</v>
      </c>
    </row>
    <row r="62" spans="2:9" ht="15" customHeight="1" x14ac:dyDescent="0.2">
      <c r="B62" t="s">
        <v>159</v>
      </c>
      <c r="C62" s="12">
        <v>32</v>
      </c>
      <c r="D62" s="8">
        <v>1.42</v>
      </c>
      <c r="E62" s="12">
        <v>10</v>
      </c>
      <c r="F62" s="8">
        <v>0.89</v>
      </c>
      <c r="G62" s="12">
        <v>22</v>
      </c>
      <c r="H62" s="8">
        <v>1.95</v>
      </c>
      <c r="I62" s="12">
        <v>0</v>
      </c>
    </row>
    <row r="63" spans="2:9" ht="15" customHeight="1" x14ac:dyDescent="0.2">
      <c r="B63" t="s">
        <v>146</v>
      </c>
      <c r="C63" s="12">
        <v>32</v>
      </c>
      <c r="D63" s="8">
        <v>1.42</v>
      </c>
      <c r="E63" s="12">
        <v>20</v>
      </c>
      <c r="F63" s="8">
        <v>1.79</v>
      </c>
      <c r="G63" s="12">
        <v>12</v>
      </c>
      <c r="H63" s="8">
        <v>1.06</v>
      </c>
      <c r="I63" s="12">
        <v>0</v>
      </c>
    </row>
    <row r="64" spans="2:9" ht="15" customHeight="1" x14ac:dyDescent="0.2">
      <c r="B64" t="s">
        <v>125</v>
      </c>
      <c r="C64" s="12">
        <v>31</v>
      </c>
      <c r="D64" s="8">
        <v>1.38</v>
      </c>
      <c r="E64" s="12">
        <v>14</v>
      </c>
      <c r="F64" s="8">
        <v>1.25</v>
      </c>
      <c r="G64" s="12">
        <v>17</v>
      </c>
      <c r="H64" s="8">
        <v>1.51</v>
      </c>
      <c r="I64" s="12">
        <v>0</v>
      </c>
    </row>
    <row r="65" spans="2:9" ht="15" customHeight="1" x14ac:dyDescent="0.2">
      <c r="B65" t="s">
        <v>129</v>
      </c>
      <c r="C65" s="12">
        <v>31</v>
      </c>
      <c r="D65" s="8">
        <v>1.38</v>
      </c>
      <c r="E65" s="12">
        <v>18</v>
      </c>
      <c r="F65" s="8">
        <v>1.61</v>
      </c>
      <c r="G65" s="12">
        <v>13</v>
      </c>
      <c r="H65" s="8">
        <v>1.1499999999999999</v>
      </c>
      <c r="I65" s="12">
        <v>0</v>
      </c>
    </row>
    <row r="66" spans="2:9" ht="15" customHeight="1" x14ac:dyDescent="0.2">
      <c r="B66" t="s">
        <v>144</v>
      </c>
      <c r="C66" s="12">
        <v>31</v>
      </c>
      <c r="D66" s="8">
        <v>1.38</v>
      </c>
      <c r="E66" s="12">
        <v>14</v>
      </c>
      <c r="F66" s="8">
        <v>1.25</v>
      </c>
      <c r="G66" s="12">
        <v>16</v>
      </c>
      <c r="H66" s="8">
        <v>1.42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7092-FA42-4D58-893F-0D19A6CFEA3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225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281</v>
      </c>
      <c r="D6" s="8">
        <v>10.94</v>
      </c>
      <c r="E6" s="12">
        <v>52</v>
      </c>
      <c r="F6" s="8">
        <v>4.16</v>
      </c>
      <c r="G6" s="12">
        <v>229</v>
      </c>
      <c r="H6" s="8">
        <v>17.45</v>
      </c>
      <c r="I6" s="12">
        <v>0</v>
      </c>
    </row>
    <row r="7" spans="2:9" ht="15" customHeight="1" x14ac:dyDescent="0.2">
      <c r="B7" t="s">
        <v>53</v>
      </c>
      <c r="C7" s="12">
        <v>74</v>
      </c>
      <c r="D7" s="8">
        <v>2.88</v>
      </c>
      <c r="E7" s="12">
        <v>30</v>
      </c>
      <c r="F7" s="8">
        <v>2.4</v>
      </c>
      <c r="G7" s="12">
        <v>44</v>
      </c>
      <c r="H7" s="8">
        <v>3.35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0.08</v>
      </c>
      <c r="E8" s="12">
        <v>0</v>
      </c>
      <c r="F8" s="8">
        <v>0</v>
      </c>
      <c r="G8" s="12">
        <v>2</v>
      </c>
      <c r="H8" s="8">
        <v>0.15</v>
      </c>
      <c r="I8" s="12">
        <v>0</v>
      </c>
    </row>
    <row r="9" spans="2:9" ht="15" customHeight="1" x14ac:dyDescent="0.2">
      <c r="B9" t="s">
        <v>55</v>
      </c>
      <c r="C9" s="12">
        <v>25</v>
      </c>
      <c r="D9" s="8">
        <v>0.97</v>
      </c>
      <c r="E9" s="12">
        <v>0</v>
      </c>
      <c r="F9" s="8">
        <v>0</v>
      </c>
      <c r="G9" s="12">
        <v>25</v>
      </c>
      <c r="H9" s="8">
        <v>1.91</v>
      </c>
      <c r="I9" s="12">
        <v>0</v>
      </c>
    </row>
    <row r="10" spans="2:9" ht="15" customHeight="1" x14ac:dyDescent="0.2">
      <c r="B10" t="s">
        <v>56</v>
      </c>
      <c r="C10" s="12">
        <v>22</v>
      </c>
      <c r="D10" s="8">
        <v>0.86</v>
      </c>
      <c r="E10" s="12">
        <v>3</v>
      </c>
      <c r="F10" s="8">
        <v>0.24</v>
      </c>
      <c r="G10" s="12">
        <v>19</v>
      </c>
      <c r="H10" s="8">
        <v>1.45</v>
      </c>
      <c r="I10" s="12">
        <v>0</v>
      </c>
    </row>
    <row r="11" spans="2:9" ht="15" customHeight="1" x14ac:dyDescent="0.2">
      <c r="B11" t="s">
        <v>57</v>
      </c>
      <c r="C11" s="12">
        <v>593</v>
      </c>
      <c r="D11" s="8">
        <v>23.09</v>
      </c>
      <c r="E11" s="12">
        <v>264</v>
      </c>
      <c r="F11" s="8">
        <v>21.14</v>
      </c>
      <c r="G11" s="12">
        <v>329</v>
      </c>
      <c r="H11" s="8">
        <v>25.08</v>
      </c>
      <c r="I11" s="12">
        <v>0</v>
      </c>
    </row>
    <row r="12" spans="2:9" ht="15" customHeight="1" x14ac:dyDescent="0.2">
      <c r="B12" t="s">
        <v>58</v>
      </c>
      <c r="C12" s="12">
        <v>27</v>
      </c>
      <c r="D12" s="8">
        <v>1.05</v>
      </c>
      <c r="E12" s="12">
        <v>1</v>
      </c>
      <c r="F12" s="8">
        <v>0.08</v>
      </c>
      <c r="G12" s="12">
        <v>26</v>
      </c>
      <c r="H12" s="8">
        <v>1.98</v>
      </c>
      <c r="I12" s="12">
        <v>0</v>
      </c>
    </row>
    <row r="13" spans="2:9" ht="15" customHeight="1" x14ac:dyDescent="0.2">
      <c r="B13" t="s">
        <v>59</v>
      </c>
      <c r="C13" s="12">
        <v>350</v>
      </c>
      <c r="D13" s="8">
        <v>13.63</v>
      </c>
      <c r="E13" s="12">
        <v>74</v>
      </c>
      <c r="F13" s="8">
        <v>5.92</v>
      </c>
      <c r="G13" s="12">
        <v>274</v>
      </c>
      <c r="H13" s="8">
        <v>20.88</v>
      </c>
      <c r="I13" s="12">
        <v>2</v>
      </c>
    </row>
    <row r="14" spans="2:9" ht="15" customHeight="1" x14ac:dyDescent="0.2">
      <c r="B14" t="s">
        <v>60</v>
      </c>
      <c r="C14" s="12">
        <v>130</v>
      </c>
      <c r="D14" s="8">
        <v>5.0599999999999996</v>
      </c>
      <c r="E14" s="12">
        <v>62</v>
      </c>
      <c r="F14" s="8">
        <v>4.96</v>
      </c>
      <c r="G14" s="12">
        <v>68</v>
      </c>
      <c r="H14" s="8">
        <v>5.18</v>
      </c>
      <c r="I14" s="12">
        <v>0</v>
      </c>
    </row>
    <row r="15" spans="2:9" ht="15" customHeight="1" x14ac:dyDescent="0.2">
      <c r="B15" t="s">
        <v>61</v>
      </c>
      <c r="C15" s="12">
        <v>285</v>
      </c>
      <c r="D15" s="8">
        <v>11.1</v>
      </c>
      <c r="E15" s="12">
        <v>239</v>
      </c>
      <c r="F15" s="8">
        <v>19.14</v>
      </c>
      <c r="G15" s="12">
        <v>45</v>
      </c>
      <c r="H15" s="8">
        <v>3.43</v>
      </c>
      <c r="I15" s="12">
        <v>0</v>
      </c>
    </row>
    <row r="16" spans="2:9" ht="15" customHeight="1" x14ac:dyDescent="0.2">
      <c r="B16" t="s">
        <v>62</v>
      </c>
      <c r="C16" s="12">
        <v>371</v>
      </c>
      <c r="D16" s="8">
        <v>14.45</v>
      </c>
      <c r="E16" s="12">
        <v>297</v>
      </c>
      <c r="F16" s="8">
        <v>23.78</v>
      </c>
      <c r="G16" s="12">
        <v>74</v>
      </c>
      <c r="H16" s="8">
        <v>5.64</v>
      </c>
      <c r="I16" s="12">
        <v>0</v>
      </c>
    </row>
    <row r="17" spans="2:9" ht="15" customHeight="1" x14ac:dyDescent="0.2">
      <c r="B17" t="s">
        <v>63</v>
      </c>
      <c r="C17" s="12">
        <v>157</v>
      </c>
      <c r="D17" s="8">
        <v>6.11</v>
      </c>
      <c r="E17" s="12">
        <v>114</v>
      </c>
      <c r="F17" s="8">
        <v>9.1300000000000008</v>
      </c>
      <c r="G17" s="12">
        <v>42</v>
      </c>
      <c r="H17" s="8">
        <v>3.2</v>
      </c>
      <c r="I17" s="12">
        <v>1</v>
      </c>
    </row>
    <row r="18" spans="2:9" ht="15" customHeight="1" x14ac:dyDescent="0.2">
      <c r="B18" t="s">
        <v>64</v>
      </c>
      <c r="C18" s="12">
        <v>185</v>
      </c>
      <c r="D18" s="8">
        <v>7.2</v>
      </c>
      <c r="E18" s="12">
        <v>90</v>
      </c>
      <c r="F18" s="8">
        <v>7.21</v>
      </c>
      <c r="G18" s="12">
        <v>94</v>
      </c>
      <c r="H18" s="8">
        <v>7.16</v>
      </c>
      <c r="I18" s="12">
        <v>0</v>
      </c>
    </row>
    <row r="19" spans="2:9" ht="15" customHeight="1" x14ac:dyDescent="0.2">
      <c r="B19" t="s">
        <v>65</v>
      </c>
      <c r="C19" s="12">
        <v>66</v>
      </c>
      <c r="D19" s="8">
        <v>2.57</v>
      </c>
      <c r="E19" s="12">
        <v>23</v>
      </c>
      <c r="F19" s="8">
        <v>1.84</v>
      </c>
      <c r="G19" s="12">
        <v>41</v>
      </c>
      <c r="H19" s="8">
        <v>3.13</v>
      </c>
      <c r="I19" s="12">
        <v>0</v>
      </c>
    </row>
    <row r="20" spans="2:9" ht="15" customHeight="1" x14ac:dyDescent="0.2">
      <c r="B20" s="9" t="s">
        <v>215</v>
      </c>
      <c r="C20" s="12">
        <f>SUM(LTBL_28108[総数／事業所数])</f>
        <v>2568</v>
      </c>
      <c r="E20" s="12">
        <f>SUBTOTAL(109,LTBL_28108[個人／事業所数])</f>
        <v>1249</v>
      </c>
      <c r="G20" s="12">
        <f>SUBTOTAL(109,LTBL_28108[法人／事業所数])</f>
        <v>1312</v>
      </c>
      <c r="I20" s="12">
        <f>SUBTOTAL(109,LTBL_28108[法人以外の団体／事業所数])</f>
        <v>3</v>
      </c>
    </row>
    <row r="21" spans="2:9" ht="15" customHeight="1" x14ac:dyDescent="0.2">
      <c r="E21" s="11">
        <f>LTBL_28108[[#Totals],[個人／事業所数]]/LTBL_28108[[#Totals],[総数／事業所数]]</f>
        <v>0.48637071651090341</v>
      </c>
      <c r="G21" s="11">
        <f>LTBL_28108[[#Totals],[法人／事業所数]]/LTBL_28108[[#Totals],[総数／事業所数]]</f>
        <v>0.5109034267912772</v>
      </c>
      <c r="I21" s="11">
        <f>LTBL_28108[[#Totals],[法人以外の団体／事業所数]]/LTBL_28108[[#Totals],[総数／事業所数]]</f>
        <v>1.1682242990654205E-3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320</v>
      </c>
      <c r="D24" s="8">
        <v>12.46</v>
      </c>
      <c r="E24" s="12">
        <v>269</v>
      </c>
      <c r="F24" s="8">
        <v>21.54</v>
      </c>
      <c r="G24" s="12">
        <v>51</v>
      </c>
      <c r="H24" s="8">
        <v>3.89</v>
      </c>
      <c r="I24" s="12">
        <v>0</v>
      </c>
    </row>
    <row r="25" spans="2:9" ht="15" customHeight="1" x14ac:dyDescent="0.2">
      <c r="B25" t="s">
        <v>85</v>
      </c>
      <c r="C25" s="12">
        <v>271</v>
      </c>
      <c r="D25" s="8">
        <v>10.55</v>
      </c>
      <c r="E25" s="12">
        <v>65</v>
      </c>
      <c r="F25" s="8">
        <v>5.2</v>
      </c>
      <c r="G25" s="12">
        <v>204</v>
      </c>
      <c r="H25" s="8">
        <v>15.55</v>
      </c>
      <c r="I25" s="12">
        <v>2</v>
      </c>
    </row>
    <row r="26" spans="2:9" ht="15" customHeight="1" x14ac:dyDescent="0.2">
      <c r="B26" t="s">
        <v>88</v>
      </c>
      <c r="C26" s="12">
        <v>266</v>
      </c>
      <c r="D26" s="8">
        <v>10.36</v>
      </c>
      <c r="E26" s="12">
        <v>233</v>
      </c>
      <c r="F26" s="8">
        <v>18.649999999999999</v>
      </c>
      <c r="G26" s="12">
        <v>33</v>
      </c>
      <c r="H26" s="8">
        <v>2.52</v>
      </c>
      <c r="I26" s="12">
        <v>0</v>
      </c>
    </row>
    <row r="27" spans="2:9" ht="15" customHeight="1" x14ac:dyDescent="0.2">
      <c r="B27" t="s">
        <v>83</v>
      </c>
      <c r="C27" s="12">
        <v>157</v>
      </c>
      <c r="D27" s="8">
        <v>6.11</v>
      </c>
      <c r="E27" s="12">
        <v>72</v>
      </c>
      <c r="F27" s="8">
        <v>5.76</v>
      </c>
      <c r="G27" s="12">
        <v>85</v>
      </c>
      <c r="H27" s="8">
        <v>6.48</v>
      </c>
      <c r="I27" s="12">
        <v>0</v>
      </c>
    </row>
    <row r="28" spans="2:9" ht="15" customHeight="1" x14ac:dyDescent="0.2">
      <c r="B28" t="s">
        <v>91</v>
      </c>
      <c r="C28" s="12">
        <v>157</v>
      </c>
      <c r="D28" s="8">
        <v>6.11</v>
      </c>
      <c r="E28" s="12">
        <v>114</v>
      </c>
      <c r="F28" s="8">
        <v>9.1300000000000008</v>
      </c>
      <c r="G28" s="12">
        <v>42</v>
      </c>
      <c r="H28" s="8">
        <v>3.2</v>
      </c>
      <c r="I28" s="12">
        <v>1</v>
      </c>
    </row>
    <row r="29" spans="2:9" ht="15" customHeight="1" x14ac:dyDescent="0.2">
      <c r="B29" t="s">
        <v>74</v>
      </c>
      <c r="C29" s="12">
        <v>133</v>
      </c>
      <c r="D29" s="8">
        <v>5.18</v>
      </c>
      <c r="E29" s="12">
        <v>17</v>
      </c>
      <c r="F29" s="8">
        <v>1.36</v>
      </c>
      <c r="G29" s="12">
        <v>116</v>
      </c>
      <c r="H29" s="8">
        <v>8.84</v>
      </c>
      <c r="I29" s="12">
        <v>0</v>
      </c>
    </row>
    <row r="30" spans="2:9" ht="15" customHeight="1" x14ac:dyDescent="0.2">
      <c r="B30" t="s">
        <v>81</v>
      </c>
      <c r="C30" s="12">
        <v>133</v>
      </c>
      <c r="D30" s="8">
        <v>5.18</v>
      </c>
      <c r="E30" s="12">
        <v>87</v>
      </c>
      <c r="F30" s="8">
        <v>6.97</v>
      </c>
      <c r="G30" s="12">
        <v>46</v>
      </c>
      <c r="H30" s="8">
        <v>3.51</v>
      </c>
      <c r="I30" s="12">
        <v>0</v>
      </c>
    </row>
    <row r="31" spans="2:9" ht="15" customHeight="1" x14ac:dyDescent="0.2">
      <c r="B31" t="s">
        <v>80</v>
      </c>
      <c r="C31" s="12">
        <v>110</v>
      </c>
      <c r="D31" s="8">
        <v>4.28</v>
      </c>
      <c r="E31" s="12">
        <v>44</v>
      </c>
      <c r="F31" s="8">
        <v>3.52</v>
      </c>
      <c r="G31" s="12">
        <v>66</v>
      </c>
      <c r="H31" s="8">
        <v>5.03</v>
      </c>
      <c r="I31" s="12">
        <v>0</v>
      </c>
    </row>
    <row r="32" spans="2:9" ht="15" customHeight="1" x14ac:dyDescent="0.2">
      <c r="B32" t="s">
        <v>92</v>
      </c>
      <c r="C32" s="12">
        <v>110</v>
      </c>
      <c r="D32" s="8">
        <v>4.28</v>
      </c>
      <c r="E32" s="12">
        <v>89</v>
      </c>
      <c r="F32" s="8">
        <v>7.13</v>
      </c>
      <c r="G32" s="12">
        <v>21</v>
      </c>
      <c r="H32" s="8">
        <v>1.6</v>
      </c>
      <c r="I32" s="12">
        <v>0</v>
      </c>
    </row>
    <row r="33" spans="2:9" ht="15" customHeight="1" x14ac:dyDescent="0.2">
      <c r="B33" t="s">
        <v>82</v>
      </c>
      <c r="C33" s="12">
        <v>77</v>
      </c>
      <c r="D33" s="8">
        <v>3</v>
      </c>
      <c r="E33" s="12">
        <v>44</v>
      </c>
      <c r="F33" s="8">
        <v>3.52</v>
      </c>
      <c r="G33" s="12">
        <v>33</v>
      </c>
      <c r="H33" s="8">
        <v>2.52</v>
      </c>
      <c r="I33" s="12">
        <v>0</v>
      </c>
    </row>
    <row r="34" spans="2:9" ht="15" customHeight="1" x14ac:dyDescent="0.2">
      <c r="B34" t="s">
        <v>76</v>
      </c>
      <c r="C34" s="12">
        <v>75</v>
      </c>
      <c r="D34" s="8">
        <v>2.92</v>
      </c>
      <c r="E34" s="12">
        <v>16</v>
      </c>
      <c r="F34" s="8">
        <v>1.28</v>
      </c>
      <c r="G34" s="12">
        <v>59</v>
      </c>
      <c r="H34" s="8">
        <v>4.5</v>
      </c>
      <c r="I34" s="12">
        <v>0</v>
      </c>
    </row>
    <row r="35" spans="2:9" ht="15" customHeight="1" x14ac:dyDescent="0.2">
      <c r="B35" t="s">
        <v>86</v>
      </c>
      <c r="C35" s="12">
        <v>75</v>
      </c>
      <c r="D35" s="8">
        <v>2.92</v>
      </c>
      <c r="E35" s="12">
        <v>42</v>
      </c>
      <c r="F35" s="8">
        <v>3.36</v>
      </c>
      <c r="G35" s="12">
        <v>33</v>
      </c>
      <c r="H35" s="8">
        <v>2.52</v>
      </c>
      <c r="I35" s="12">
        <v>0</v>
      </c>
    </row>
    <row r="36" spans="2:9" ht="15" customHeight="1" x14ac:dyDescent="0.2">
      <c r="B36" t="s">
        <v>93</v>
      </c>
      <c r="C36" s="12">
        <v>75</v>
      </c>
      <c r="D36" s="8">
        <v>2.92</v>
      </c>
      <c r="E36" s="12">
        <v>1</v>
      </c>
      <c r="F36" s="8">
        <v>0.08</v>
      </c>
      <c r="G36" s="12">
        <v>73</v>
      </c>
      <c r="H36" s="8">
        <v>5.56</v>
      </c>
      <c r="I36" s="12">
        <v>0</v>
      </c>
    </row>
    <row r="37" spans="2:9" ht="15" customHeight="1" x14ac:dyDescent="0.2">
      <c r="B37" t="s">
        <v>75</v>
      </c>
      <c r="C37" s="12">
        <v>73</v>
      </c>
      <c r="D37" s="8">
        <v>2.84</v>
      </c>
      <c r="E37" s="12">
        <v>19</v>
      </c>
      <c r="F37" s="8">
        <v>1.52</v>
      </c>
      <c r="G37" s="12">
        <v>54</v>
      </c>
      <c r="H37" s="8">
        <v>4.12</v>
      </c>
      <c r="I37" s="12">
        <v>0</v>
      </c>
    </row>
    <row r="38" spans="2:9" ht="15" customHeight="1" x14ac:dyDescent="0.2">
      <c r="B38" t="s">
        <v>84</v>
      </c>
      <c r="C38" s="12">
        <v>72</v>
      </c>
      <c r="D38" s="8">
        <v>2.8</v>
      </c>
      <c r="E38" s="12">
        <v>9</v>
      </c>
      <c r="F38" s="8">
        <v>0.72</v>
      </c>
      <c r="G38" s="12">
        <v>63</v>
      </c>
      <c r="H38" s="8">
        <v>4.8</v>
      </c>
      <c r="I38" s="12">
        <v>0</v>
      </c>
    </row>
    <row r="39" spans="2:9" ht="15" customHeight="1" x14ac:dyDescent="0.2">
      <c r="B39" t="s">
        <v>87</v>
      </c>
      <c r="C39" s="12">
        <v>50</v>
      </c>
      <c r="D39" s="8">
        <v>1.95</v>
      </c>
      <c r="E39" s="12">
        <v>18</v>
      </c>
      <c r="F39" s="8">
        <v>1.44</v>
      </c>
      <c r="G39" s="12">
        <v>32</v>
      </c>
      <c r="H39" s="8">
        <v>2.44</v>
      </c>
      <c r="I39" s="12">
        <v>0</v>
      </c>
    </row>
    <row r="40" spans="2:9" ht="15" customHeight="1" x14ac:dyDescent="0.2">
      <c r="B40" t="s">
        <v>94</v>
      </c>
      <c r="C40" s="12">
        <v>32</v>
      </c>
      <c r="D40" s="8">
        <v>1.25</v>
      </c>
      <c r="E40" s="12">
        <v>3</v>
      </c>
      <c r="F40" s="8">
        <v>0.24</v>
      </c>
      <c r="G40" s="12">
        <v>29</v>
      </c>
      <c r="H40" s="8">
        <v>2.21</v>
      </c>
      <c r="I40" s="12">
        <v>0</v>
      </c>
    </row>
    <row r="41" spans="2:9" ht="15" customHeight="1" x14ac:dyDescent="0.2">
      <c r="B41" t="s">
        <v>90</v>
      </c>
      <c r="C41" s="12">
        <v>31</v>
      </c>
      <c r="D41" s="8">
        <v>1.21</v>
      </c>
      <c r="E41" s="12">
        <v>16</v>
      </c>
      <c r="F41" s="8">
        <v>1.28</v>
      </c>
      <c r="G41" s="12">
        <v>15</v>
      </c>
      <c r="H41" s="8">
        <v>1.1399999999999999</v>
      </c>
      <c r="I41" s="12">
        <v>0</v>
      </c>
    </row>
    <row r="42" spans="2:9" ht="15" customHeight="1" x14ac:dyDescent="0.2">
      <c r="B42" t="s">
        <v>102</v>
      </c>
      <c r="C42" s="12">
        <v>27</v>
      </c>
      <c r="D42" s="8">
        <v>1.05</v>
      </c>
      <c r="E42" s="12">
        <v>1</v>
      </c>
      <c r="F42" s="8">
        <v>0.08</v>
      </c>
      <c r="G42" s="12">
        <v>26</v>
      </c>
      <c r="H42" s="8">
        <v>1.98</v>
      </c>
      <c r="I42" s="12">
        <v>0</v>
      </c>
    </row>
    <row r="43" spans="2:9" ht="15" customHeight="1" x14ac:dyDescent="0.2">
      <c r="B43" t="s">
        <v>101</v>
      </c>
      <c r="C43" s="12">
        <v>26</v>
      </c>
      <c r="D43" s="8">
        <v>1.01</v>
      </c>
      <c r="E43" s="12">
        <v>6</v>
      </c>
      <c r="F43" s="8">
        <v>0.48</v>
      </c>
      <c r="G43" s="12">
        <v>20</v>
      </c>
      <c r="H43" s="8">
        <v>1.52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161</v>
      </c>
      <c r="D47" s="8">
        <v>6.27</v>
      </c>
      <c r="E47" s="12">
        <v>147</v>
      </c>
      <c r="F47" s="8">
        <v>11.77</v>
      </c>
      <c r="G47" s="12">
        <v>14</v>
      </c>
      <c r="H47" s="8">
        <v>1.07</v>
      </c>
      <c r="I47" s="12">
        <v>0</v>
      </c>
    </row>
    <row r="48" spans="2:9" ht="15" customHeight="1" x14ac:dyDescent="0.2">
      <c r="B48" t="s">
        <v>132</v>
      </c>
      <c r="C48" s="12">
        <v>126</v>
      </c>
      <c r="D48" s="8">
        <v>4.91</v>
      </c>
      <c r="E48" s="12">
        <v>36</v>
      </c>
      <c r="F48" s="8">
        <v>2.88</v>
      </c>
      <c r="G48" s="12">
        <v>90</v>
      </c>
      <c r="H48" s="8">
        <v>6.86</v>
      </c>
      <c r="I48" s="12">
        <v>0</v>
      </c>
    </row>
    <row r="49" spans="2:9" ht="15" customHeight="1" x14ac:dyDescent="0.2">
      <c r="B49" t="s">
        <v>140</v>
      </c>
      <c r="C49" s="12">
        <v>98</v>
      </c>
      <c r="D49" s="8">
        <v>3.82</v>
      </c>
      <c r="E49" s="12">
        <v>77</v>
      </c>
      <c r="F49" s="8">
        <v>6.16</v>
      </c>
      <c r="G49" s="12">
        <v>20</v>
      </c>
      <c r="H49" s="8">
        <v>1.52</v>
      </c>
      <c r="I49" s="12">
        <v>1</v>
      </c>
    </row>
    <row r="50" spans="2:9" ht="15" customHeight="1" x14ac:dyDescent="0.2">
      <c r="B50" t="s">
        <v>137</v>
      </c>
      <c r="C50" s="12">
        <v>92</v>
      </c>
      <c r="D50" s="8">
        <v>3.58</v>
      </c>
      <c r="E50" s="12">
        <v>84</v>
      </c>
      <c r="F50" s="8">
        <v>6.73</v>
      </c>
      <c r="G50" s="12">
        <v>8</v>
      </c>
      <c r="H50" s="8">
        <v>0.61</v>
      </c>
      <c r="I50" s="12">
        <v>0</v>
      </c>
    </row>
    <row r="51" spans="2:9" ht="15" customHeight="1" x14ac:dyDescent="0.2">
      <c r="B51" t="s">
        <v>136</v>
      </c>
      <c r="C51" s="12">
        <v>80</v>
      </c>
      <c r="D51" s="8">
        <v>3.12</v>
      </c>
      <c r="E51" s="12">
        <v>72</v>
      </c>
      <c r="F51" s="8">
        <v>5.76</v>
      </c>
      <c r="G51" s="12">
        <v>8</v>
      </c>
      <c r="H51" s="8">
        <v>0.61</v>
      </c>
      <c r="I51" s="12">
        <v>0</v>
      </c>
    </row>
    <row r="52" spans="2:9" ht="15" customHeight="1" x14ac:dyDescent="0.2">
      <c r="B52" t="s">
        <v>141</v>
      </c>
      <c r="C52" s="12">
        <v>74</v>
      </c>
      <c r="D52" s="8">
        <v>2.88</v>
      </c>
      <c r="E52" s="12">
        <v>60</v>
      </c>
      <c r="F52" s="8">
        <v>4.8</v>
      </c>
      <c r="G52" s="12">
        <v>14</v>
      </c>
      <c r="H52" s="8">
        <v>1.07</v>
      </c>
      <c r="I52" s="12">
        <v>0</v>
      </c>
    </row>
    <row r="53" spans="2:9" ht="15" customHeight="1" x14ac:dyDescent="0.2">
      <c r="B53" t="s">
        <v>130</v>
      </c>
      <c r="C53" s="12">
        <v>57</v>
      </c>
      <c r="D53" s="8">
        <v>2.2200000000000002</v>
      </c>
      <c r="E53" s="12">
        <v>9</v>
      </c>
      <c r="F53" s="8">
        <v>0.72</v>
      </c>
      <c r="G53" s="12">
        <v>48</v>
      </c>
      <c r="H53" s="8">
        <v>3.66</v>
      </c>
      <c r="I53" s="12">
        <v>0</v>
      </c>
    </row>
    <row r="54" spans="2:9" ht="15" customHeight="1" x14ac:dyDescent="0.2">
      <c r="B54" t="s">
        <v>139</v>
      </c>
      <c r="C54" s="12">
        <v>57</v>
      </c>
      <c r="D54" s="8">
        <v>2.2200000000000002</v>
      </c>
      <c r="E54" s="12">
        <v>37</v>
      </c>
      <c r="F54" s="8">
        <v>2.96</v>
      </c>
      <c r="G54" s="12">
        <v>20</v>
      </c>
      <c r="H54" s="8">
        <v>1.52</v>
      </c>
      <c r="I54" s="12">
        <v>0</v>
      </c>
    </row>
    <row r="55" spans="2:9" ht="15" customHeight="1" x14ac:dyDescent="0.2">
      <c r="B55" t="s">
        <v>131</v>
      </c>
      <c r="C55" s="12">
        <v>52</v>
      </c>
      <c r="D55" s="8">
        <v>2.02</v>
      </c>
      <c r="E55" s="12">
        <v>4</v>
      </c>
      <c r="F55" s="8">
        <v>0.32</v>
      </c>
      <c r="G55" s="12">
        <v>48</v>
      </c>
      <c r="H55" s="8">
        <v>3.66</v>
      </c>
      <c r="I55" s="12">
        <v>0</v>
      </c>
    </row>
    <row r="56" spans="2:9" ht="15" customHeight="1" x14ac:dyDescent="0.2">
      <c r="B56" t="s">
        <v>133</v>
      </c>
      <c r="C56" s="12">
        <v>52</v>
      </c>
      <c r="D56" s="8">
        <v>2.02</v>
      </c>
      <c r="E56" s="12">
        <v>45</v>
      </c>
      <c r="F56" s="8">
        <v>3.6</v>
      </c>
      <c r="G56" s="12">
        <v>7</v>
      </c>
      <c r="H56" s="8">
        <v>0.53</v>
      </c>
      <c r="I56" s="12">
        <v>0</v>
      </c>
    </row>
    <row r="57" spans="2:9" ht="15" customHeight="1" x14ac:dyDescent="0.2">
      <c r="B57" t="s">
        <v>134</v>
      </c>
      <c r="C57" s="12">
        <v>50</v>
      </c>
      <c r="D57" s="8">
        <v>1.95</v>
      </c>
      <c r="E57" s="12">
        <v>45</v>
      </c>
      <c r="F57" s="8">
        <v>3.6</v>
      </c>
      <c r="G57" s="12">
        <v>5</v>
      </c>
      <c r="H57" s="8">
        <v>0.38</v>
      </c>
      <c r="I57" s="12">
        <v>0</v>
      </c>
    </row>
    <row r="58" spans="2:9" ht="15" customHeight="1" x14ac:dyDescent="0.2">
      <c r="B58" t="s">
        <v>125</v>
      </c>
      <c r="C58" s="12">
        <v>49</v>
      </c>
      <c r="D58" s="8">
        <v>1.91</v>
      </c>
      <c r="E58" s="12">
        <v>18</v>
      </c>
      <c r="F58" s="8">
        <v>1.44</v>
      </c>
      <c r="G58" s="12">
        <v>31</v>
      </c>
      <c r="H58" s="8">
        <v>2.36</v>
      </c>
      <c r="I58" s="12">
        <v>0</v>
      </c>
    </row>
    <row r="59" spans="2:9" ht="15" customHeight="1" x14ac:dyDescent="0.2">
      <c r="B59" t="s">
        <v>142</v>
      </c>
      <c r="C59" s="12">
        <v>49</v>
      </c>
      <c r="D59" s="8">
        <v>1.91</v>
      </c>
      <c r="E59" s="12">
        <v>25</v>
      </c>
      <c r="F59" s="8">
        <v>2</v>
      </c>
      <c r="G59" s="12">
        <v>24</v>
      </c>
      <c r="H59" s="8">
        <v>1.83</v>
      </c>
      <c r="I59" s="12">
        <v>0</v>
      </c>
    </row>
    <row r="60" spans="2:9" ht="15" customHeight="1" x14ac:dyDescent="0.2">
      <c r="B60" t="s">
        <v>129</v>
      </c>
      <c r="C60" s="12">
        <v>48</v>
      </c>
      <c r="D60" s="8">
        <v>1.87</v>
      </c>
      <c r="E60" s="12">
        <v>31</v>
      </c>
      <c r="F60" s="8">
        <v>2.48</v>
      </c>
      <c r="G60" s="12">
        <v>17</v>
      </c>
      <c r="H60" s="8">
        <v>1.3</v>
      </c>
      <c r="I60" s="12">
        <v>0</v>
      </c>
    </row>
    <row r="61" spans="2:9" ht="15" customHeight="1" x14ac:dyDescent="0.2">
      <c r="B61" t="s">
        <v>143</v>
      </c>
      <c r="C61" s="12">
        <v>44</v>
      </c>
      <c r="D61" s="8">
        <v>1.71</v>
      </c>
      <c r="E61" s="12">
        <v>0</v>
      </c>
      <c r="F61" s="8">
        <v>0</v>
      </c>
      <c r="G61" s="12">
        <v>42</v>
      </c>
      <c r="H61" s="8">
        <v>3.2</v>
      </c>
      <c r="I61" s="12">
        <v>2</v>
      </c>
    </row>
    <row r="62" spans="2:9" ht="15" customHeight="1" x14ac:dyDescent="0.2">
      <c r="B62" t="s">
        <v>122</v>
      </c>
      <c r="C62" s="12">
        <v>42</v>
      </c>
      <c r="D62" s="8">
        <v>1.64</v>
      </c>
      <c r="E62" s="12">
        <v>6</v>
      </c>
      <c r="F62" s="8">
        <v>0.48</v>
      </c>
      <c r="G62" s="12">
        <v>36</v>
      </c>
      <c r="H62" s="8">
        <v>2.74</v>
      </c>
      <c r="I62" s="12">
        <v>0</v>
      </c>
    </row>
    <row r="63" spans="2:9" ht="15" customHeight="1" x14ac:dyDescent="0.2">
      <c r="B63" t="s">
        <v>151</v>
      </c>
      <c r="C63" s="12">
        <v>42</v>
      </c>
      <c r="D63" s="8">
        <v>1.64</v>
      </c>
      <c r="E63" s="12">
        <v>29</v>
      </c>
      <c r="F63" s="8">
        <v>2.3199999999999998</v>
      </c>
      <c r="G63" s="12">
        <v>13</v>
      </c>
      <c r="H63" s="8">
        <v>0.99</v>
      </c>
      <c r="I63" s="12">
        <v>0</v>
      </c>
    </row>
    <row r="64" spans="2:9" ht="15" customHeight="1" x14ac:dyDescent="0.2">
      <c r="B64" t="s">
        <v>126</v>
      </c>
      <c r="C64" s="12">
        <v>42</v>
      </c>
      <c r="D64" s="8">
        <v>1.64</v>
      </c>
      <c r="E64" s="12">
        <v>23</v>
      </c>
      <c r="F64" s="8">
        <v>1.84</v>
      </c>
      <c r="G64" s="12">
        <v>19</v>
      </c>
      <c r="H64" s="8">
        <v>1.45</v>
      </c>
      <c r="I64" s="12">
        <v>0</v>
      </c>
    </row>
    <row r="65" spans="2:9" ht="15" customHeight="1" x14ac:dyDescent="0.2">
      <c r="B65" t="s">
        <v>128</v>
      </c>
      <c r="C65" s="12">
        <v>42</v>
      </c>
      <c r="D65" s="8">
        <v>1.64</v>
      </c>
      <c r="E65" s="12">
        <v>11</v>
      </c>
      <c r="F65" s="8">
        <v>0.88</v>
      </c>
      <c r="G65" s="12">
        <v>31</v>
      </c>
      <c r="H65" s="8">
        <v>2.36</v>
      </c>
      <c r="I65" s="12">
        <v>0</v>
      </c>
    </row>
    <row r="66" spans="2:9" ht="15" customHeight="1" x14ac:dyDescent="0.2">
      <c r="B66" t="s">
        <v>146</v>
      </c>
      <c r="C66" s="12">
        <v>41</v>
      </c>
      <c r="D66" s="8">
        <v>1.6</v>
      </c>
      <c r="E66" s="12">
        <v>21</v>
      </c>
      <c r="F66" s="8">
        <v>1.68</v>
      </c>
      <c r="G66" s="12">
        <v>20</v>
      </c>
      <c r="H66" s="8">
        <v>1.52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0D159-EEA6-415E-903C-287DE2EA562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226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344</v>
      </c>
      <c r="D6" s="8">
        <v>12.94</v>
      </c>
      <c r="E6" s="12">
        <v>69</v>
      </c>
      <c r="F6" s="8">
        <v>5.94</v>
      </c>
      <c r="G6" s="12">
        <v>275</v>
      </c>
      <c r="H6" s="8">
        <v>18.48</v>
      </c>
      <c r="I6" s="12">
        <v>0</v>
      </c>
    </row>
    <row r="7" spans="2:9" ht="15" customHeight="1" x14ac:dyDescent="0.2">
      <c r="B7" t="s">
        <v>53</v>
      </c>
      <c r="C7" s="12">
        <v>125</v>
      </c>
      <c r="D7" s="8">
        <v>4.7</v>
      </c>
      <c r="E7" s="12">
        <v>37</v>
      </c>
      <c r="F7" s="8">
        <v>3.19</v>
      </c>
      <c r="G7" s="12">
        <v>88</v>
      </c>
      <c r="H7" s="8">
        <v>5.91</v>
      </c>
      <c r="I7" s="12">
        <v>0</v>
      </c>
    </row>
    <row r="8" spans="2:9" ht="15" customHeight="1" x14ac:dyDescent="0.2">
      <c r="B8" t="s">
        <v>54</v>
      </c>
      <c r="C8" s="12">
        <v>9</v>
      </c>
      <c r="D8" s="8">
        <v>0.34</v>
      </c>
      <c r="E8" s="12">
        <v>0</v>
      </c>
      <c r="F8" s="8">
        <v>0</v>
      </c>
      <c r="G8" s="12">
        <v>9</v>
      </c>
      <c r="H8" s="8">
        <v>0.6</v>
      </c>
      <c r="I8" s="12">
        <v>0</v>
      </c>
    </row>
    <row r="9" spans="2:9" ht="15" customHeight="1" x14ac:dyDescent="0.2">
      <c r="B9" t="s">
        <v>55</v>
      </c>
      <c r="C9" s="12">
        <v>36</v>
      </c>
      <c r="D9" s="8">
        <v>1.35</v>
      </c>
      <c r="E9" s="12">
        <v>1</v>
      </c>
      <c r="F9" s="8">
        <v>0.09</v>
      </c>
      <c r="G9" s="12">
        <v>35</v>
      </c>
      <c r="H9" s="8">
        <v>2.35</v>
      </c>
      <c r="I9" s="12">
        <v>0</v>
      </c>
    </row>
    <row r="10" spans="2:9" ht="15" customHeight="1" x14ac:dyDescent="0.2">
      <c r="B10" t="s">
        <v>56</v>
      </c>
      <c r="C10" s="12">
        <v>33</v>
      </c>
      <c r="D10" s="8">
        <v>1.24</v>
      </c>
      <c r="E10" s="12">
        <v>14</v>
      </c>
      <c r="F10" s="8">
        <v>1.21</v>
      </c>
      <c r="G10" s="12">
        <v>19</v>
      </c>
      <c r="H10" s="8">
        <v>1.28</v>
      </c>
      <c r="I10" s="12">
        <v>0</v>
      </c>
    </row>
    <row r="11" spans="2:9" ht="15" customHeight="1" x14ac:dyDescent="0.2">
      <c r="B11" t="s">
        <v>57</v>
      </c>
      <c r="C11" s="12">
        <v>608</v>
      </c>
      <c r="D11" s="8">
        <v>22.87</v>
      </c>
      <c r="E11" s="12">
        <v>210</v>
      </c>
      <c r="F11" s="8">
        <v>18.09</v>
      </c>
      <c r="G11" s="12">
        <v>397</v>
      </c>
      <c r="H11" s="8">
        <v>26.68</v>
      </c>
      <c r="I11" s="12">
        <v>1</v>
      </c>
    </row>
    <row r="12" spans="2:9" ht="15" customHeight="1" x14ac:dyDescent="0.2">
      <c r="B12" t="s">
        <v>58</v>
      </c>
      <c r="C12" s="12">
        <v>20</v>
      </c>
      <c r="D12" s="8">
        <v>0.75</v>
      </c>
      <c r="E12" s="12">
        <v>1</v>
      </c>
      <c r="F12" s="8">
        <v>0.09</v>
      </c>
      <c r="G12" s="12">
        <v>19</v>
      </c>
      <c r="H12" s="8">
        <v>1.28</v>
      </c>
      <c r="I12" s="12">
        <v>0</v>
      </c>
    </row>
    <row r="13" spans="2:9" ht="15" customHeight="1" x14ac:dyDescent="0.2">
      <c r="B13" t="s">
        <v>59</v>
      </c>
      <c r="C13" s="12">
        <v>280</v>
      </c>
      <c r="D13" s="8">
        <v>10.53</v>
      </c>
      <c r="E13" s="12">
        <v>58</v>
      </c>
      <c r="F13" s="8">
        <v>5</v>
      </c>
      <c r="G13" s="12">
        <v>222</v>
      </c>
      <c r="H13" s="8">
        <v>14.92</v>
      </c>
      <c r="I13" s="12">
        <v>0</v>
      </c>
    </row>
    <row r="14" spans="2:9" ht="15" customHeight="1" x14ac:dyDescent="0.2">
      <c r="B14" t="s">
        <v>60</v>
      </c>
      <c r="C14" s="12">
        <v>142</v>
      </c>
      <c r="D14" s="8">
        <v>5.34</v>
      </c>
      <c r="E14" s="12">
        <v>44</v>
      </c>
      <c r="F14" s="8">
        <v>3.79</v>
      </c>
      <c r="G14" s="12">
        <v>97</v>
      </c>
      <c r="H14" s="8">
        <v>6.52</v>
      </c>
      <c r="I14" s="12">
        <v>0</v>
      </c>
    </row>
    <row r="15" spans="2:9" ht="15" customHeight="1" x14ac:dyDescent="0.2">
      <c r="B15" t="s">
        <v>61</v>
      </c>
      <c r="C15" s="12">
        <v>261</v>
      </c>
      <c r="D15" s="8">
        <v>9.82</v>
      </c>
      <c r="E15" s="12">
        <v>217</v>
      </c>
      <c r="F15" s="8">
        <v>18.690000000000001</v>
      </c>
      <c r="G15" s="12">
        <v>43</v>
      </c>
      <c r="H15" s="8">
        <v>2.89</v>
      </c>
      <c r="I15" s="12">
        <v>0</v>
      </c>
    </row>
    <row r="16" spans="2:9" ht="15" customHeight="1" x14ac:dyDescent="0.2">
      <c r="B16" t="s">
        <v>62</v>
      </c>
      <c r="C16" s="12">
        <v>355</v>
      </c>
      <c r="D16" s="8">
        <v>13.36</v>
      </c>
      <c r="E16" s="12">
        <v>248</v>
      </c>
      <c r="F16" s="8">
        <v>21.36</v>
      </c>
      <c r="G16" s="12">
        <v>107</v>
      </c>
      <c r="H16" s="8">
        <v>7.19</v>
      </c>
      <c r="I16" s="12">
        <v>0</v>
      </c>
    </row>
    <row r="17" spans="2:9" ht="15" customHeight="1" x14ac:dyDescent="0.2">
      <c r="B17" t="s">
        <v>63</v>
      </c>
      <c r="C17" s="12">
        <v>175</v>
      </c>
      <c r="D17" s="8">
        <v>6.58</v>
      </c>
      <c r="E17" s="12">
        <v>138</v>
      </c>
      <c r="F17" s="8">
        <v>11.89</v>
      </c>
      <c r="G17" s="12">
        <v>35</v>
      </c>
      <c r="H17" s="8">
        <v>2.35</v>
      </c>
      <c r="I17" s="12">
        <v>1</v>
      </c>
    </row>
    <row r="18" spans="2:9" ht="15" customHeight="1" x14ac:dyDescent="0.2">
      <c r="B18" t="s">
        <v>64</v>
      </c>
      <c r="C18" s="12">
        <v>179</v>
      </c>
      <c r="D18" s="8">
        <v>6.73</v>
      </c>
      <c r="E18" s="12">
        <v>104</v>
      </c>
      <c r="F18" s="8">
        <v>8.9600000000000009</v>
      </c>
      <c r="G18" s="12">
        <v>73</v>
      </c>
      <c r="H18" s="8">
        <v>4.91</v>
      </c>
      <c r="I18" s="12">
        <v>0</v>
      </c>
    </row>
    <row r="19" spans="2:9" ht="15" customHeight="1" x14ac:dyDescent="0.2">
      <c r="B19" t="s">
        <v>65</v>
      </c>
      <c r="C19" s="12">
        <v>91</v>
      </c>
      <c r="D19" s="8">
        <v>3.42</v>
      </c>
      <c r="E19" s="12">
        <v>20</v>
      </c>
      <c r="F19" s="8">
        <v>1.72</v>
      </c>
      <c r="G19" s="12">
        <v>69</v>
      </c>
      <c r="H19" s="8">
        <v>4.6399999999999997</v>
      </c>
      <c r="I19" s="12">
        <v>2</v>
      </c>
    </row>
    <row r="20" spans="2:9" ht="15" customHeight="1" x14ac:dyDescent="0.2">
      <c r="B20" s="9" t="s">
        <v>215</v>
      </c>
      <c r="C20" s="12">
        <f>SUM(LTBL_28109[総数／事業所数])</f>
        <v>2658</v>
      </c>
      <c r="E20" s="12">
        <f>SUBTOTAL(109,LTBL_28109[個人／事業所数])</f>
        <v>1161</v>
      </c>
      <c r="G20" s="12">
        <f>SUBTOTAL(109,LTBL_28109[法人／事業所数])</f>
        <v>1488</v>
      </c>
      <c r="I20" s="12">
        <f>SUBTOTAL(109,LTBL_28109[法人以外の団体／事業所数])</f>
        <v>4</v>
      </c>
    </row>
    <row r="21" spans="2:9" ht="15" customHeight="1" x14ac:dyDescent="0.2">
      <c r="E21" s="11">
        <f>LTBL_28109[[#Totals],[個人／事業所数]]/LTBL_28109[[#Totals],[総数／事業所数]]</f>
        <v>0.43679458239277652</v>
      </c>
      <c r="G21" s="11">
        <f>LTBL_28109[[#Totals],[法人／事業所数]]/LTBL_28109[[#Totals],[総数／事業所数]]</f>
        <v>0.55981941309255079</v>
      </c>
      <c r="I21" s="11">
        <f>LTBL_28109[[#Totals],[法人以外の団体／事業所数]]/LTBL_28109[[#Totals],[総数／事業所数]]</f>
        <v>1.5048908954100827E-3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282</v>
      </c>
      <c r="D24" s="8">
        <v>10.61</v>
      </c>
      <c r="E24" s="12">
        <v>221</v>
      </c>
      <c r="F24" s="8">
        <v>19.04</v>
      </c>
      <c r="G24" s="12">
        <v>61</v>
      </c>
      <c r="H24" s="8">
        <v>4.0999999999999996</v>
      </c>
      <c r="I24" s="12">
        <v>0</v>
      </c>
    </row>
    <row r="25" spans="2:9" ht="15" customHeight="1" x14ac:dyDescent="0.2">
      <c r="B25" t="s">
        <v>85</v>
      </c>
      <c r="C25" s="12">
        <v>237</v>
      </c>
      <c r="D25" s="8">
        <v>8.92</v>
      </c>
      <c r="E25" s="12">
        <v>49</v>
      </c>
      <c r="F25" s="8">
        <v>4.22</v>
      </c>
      <c r="G25" s="12">
        <v>188</v>
      </c>
      <c r="H25" s="8">
        <v>12.63</v>
      </c>
      <c r="I25" s="12">
        <v>0</v>
      </c>
    </row>
    <row r="26" spans="2:9" ht="15" customHeight="1" x14ac:dyDescent="0.2">
      <c r="B26" t="s">
        <v>88</v>
      </c>
      <c r="C26" s="12">
        <v>233</v>
      </c>
      <c r="D26" s="8">
        <v>8.77</v>
      </c>
      <c r="E26" s="12">
        <v>208</v>
      </c>
      <c r="F26" s="8">
        <v>17.920000000000002</v>
      </c>
      <c r="G26" s="12">
        <v>25</v>
      </c>
      <c r="H26" s="8">
        <v>1.68</v>
      </c>
      <c r="I26" s="12">
        <v>0</v>
      </c>
    </row>
    <row r="27" spans="2:9" ht="15" customHeight="1" x14ac:dyDescent="0.2">
      <c r="B27" t="s">
        <v>91</v>
      </c>
      <c r="C27" s="12">
        <v>175</v>
      </c>
      <c r="D27" s="8">
        <v>6.58</v>
      </c>
      <c r="E27" s="12">
        <v>138</v>
      </c>
      <c r="F27" s="8">
        <v>11.89</v>
      </c>
      <c r="G27" s="12">
        <v>35</v>
      </c>
      <c r="H27" s="8">
        <v>2.35</v>
      </c>
      <c r="I27" s="12">
        <v>1</v>
      </c>
    </row>
    <row r="28" spans="2:9" ht="15" customHeight="1" x14ac:dyDescent="0.2">
      <c r="B28" t="s">
        <v>74</v>
      </c>
      <c r="C28" s="12">
        <v>162</v>
      </c>
      <c r="D28" s="8">
        <v>6.09</v>
      </c>
      <c r="E28" s="12">
        <v>28</v>
      </c>
      <c r="F28" s="8">
        <v>2.41</v>
      </c>
      <c r="G28" s="12">
        <v>134</v>
      </c>
      <c r="H28" s="8">
        <v>9.01</v>
      </c>
      <c r="I28" s="12">
        <v>0</v>
      </c>
    </row>
    <row r="29" spans="2:9" ht="15" customHeight="1" x14ac:dyDescent="0.2">
      <c r="B29" t="s">
        <v>83</v>
      </c>
      <c r="C29" s="12">
        <v>143</v>
      </c>
      <c r="D29" s="8">
        <v>5.38</v>
      </c>
      <c r="E29" s="12">
        <v>66</v>
      </c>
      <c r="F29" s="8">
        <v>5.68</v>
      </c>
      <c r="G29" s="12">
        <v>77</v>
      </c>
      <c r="H29" s="8">
        <v>5.17</v>
      </c>
      <c r="I29" s="12">
        <v>0</v>
      </c>
    </row>
    <row r="30" spans="2:9" ht="15" customHeight="1" x14ac:dyDescent="0.2">
      <c r="B30" t="s">
        <v>92</v>
      </c>
      <c r="C30" s="12">
        <v>117</v>
      </c>
      <c r="D30" s="8">
        <v>4.4000000000000004</v>
      </c>
      <c r="E30" s="12">
        <v>102</v>
      </c>
      <c r="F30" s="8">
        <v>8.7899999999999991</v>
      </c>
      <c r="G30" s="12">
        <v>15</v>
      </c>
      <c r="H30" s="8">
        <v>1.01</v>
      </c>
      <c r="I30" s="12">
        <v>0</v>
      </c>
    </row>
    <row r="31" spans="2:9" ht="15" customHeight="1" x14ac:dyDescent="0.2">
      <c r="B31" t="s">
        <v>81</v>
      </c>
      <c r="C31" s="12">
        <v>109</v>
      </c>
      <c r="D31" s="8">
        <v>4.0999999999999996</v>
      </c>
      <c r="E31" s="12">
        <v>63</v>
      </c>
      <c r="F31" s="8">
        <v>5.43</v>
      </c>
      <c r="G31" s="12">
        <v>45</v>
      </c>
      <c r="H31" s="8">
        <v>3.02</v>
      </c>
      <c r="I31" s="12">
        <v>1</v>
      </c>
    </row>
    <row r="32" spans="2:9" ht="15" customHeight="1" x14ac:dyDescent="0.2">
      <c r="B32" t="s">
        <v>75</v>
      </c>
      <c r="C32" s="12">
        <v>96</v>
      </c>
      <c r="D32" s="8">
        <v>3.61</v>
      </c>
      <c r="E32" s="12">
        <v>23</v>
      </c>
      <c r="F32" s="8">
        <v>1.98</v>
      </c>
      <c r="G32" s="12">
        <v>73</v>
      </c>
      <c r="H32" s="8">
        <v>4.91</v>
      </c>
      <c r="I32" s="12">
        <v>0</v>
      </c>
    </row>
    <row r="33" spans="2:9" ht="15" customHeight="1" x14ac:dyDescent="0.2">
      <c r="B33" t="s">
        <v>80</v>
      </c>
      <c r="C33" s="12">
        <v>91</v>
      </c>
      <c r="D33" s="8">
        <v>3.42</v>
      </c>
      <c r="E33" s="12">
        <v>21</v>
      </c>
      <c r="F33" s="8">
        <v>1.81</v>
      </c>
      <c r="G33" s="12">
        <v>70</v>
      </c>
      <c r="H33" s="8">
        <v>4.7</v>
      </c>
      <c r="I33" s="12">
        <v>0</v>
      </c>
    </row>
    <row r="34" spans="2:9" ht="15" customHeight="1" x14ac:dyDescent="0.2">
      <c r="B34" t="s">
        <v>76</v>
      </c>
      <c r="C34" s="12">
        <v>86</v>
      </c>
      <c r="D34" s="8">
        <v>3.24</v>
      </c>
      <c r="E34" s="12">
        <v>18</v>
      </c>
      <c r="F34" s="8">
        <v>1.55</v>
      </c>
      <c r="G34" s="12">
        <v>68</v>
      </c>
      <c r="H34" s="8">
        <v>4.57</v>
      </c>
      <c r="I34" s="12">
        <v>0</v>
      </c>
    </row>
    <row r="35" spans="2:9" ht="15" customHeight="1" x14ac:dyDescent="0.2">
      <c r="B35" t="s">
        <v>82</v>
      </c>
      <c r="C35" s="12">
        <v>84</v>
      </c>
      <c r="D35" s="8">
        <v>3.16</v>
      </c>
      <c r="E35" s="12">
        <v>42</v>
      </c>
      <c r="F35" s="8">
        <v>3.62</v>
      </c>
      <c r="G35" s="12">
        <v>42</v>
      </c>
      <c r="H35" s="8">
        <v>2.82</v>
      </c>
      <c r="I35" s="12">
        <v>0</v>
      </c>
    </row>
    <row r="36" spans="2:9" ht="15" customHeight="1" x14ac:dyDescent="0.2">
      <c r="B36" t="s">
        <v>86</v>
      </c>
      <c r="C36" s="12">
        <v>71</v>
      </c>
      <c r="D36" s="8">
        <v>2.67</v>
      </c>
      <c r="E36" s="12">
        <v>25</v>
      </c>
      <c r="F36" s="8">
        <v>2.15</v>
      </c>
      <c r="G36" s="12">
        <v>46</v>
      </c>
      <c r="H36" s="8">
        <v>3.09</v>
      </c>
      <c r="I36" s="12">
        <v>0</v>
      </c>
    </row>
    <row r="37" spans="2:9" ht="15" customHeight="1" x14ac:dyDescent="0.2">
      <c r="B37" t="s">
        <v>87</v>
      </c>
      <c r="C37" s="12">
        <v>65</v>
      </c>
      <c r="D37" s="8">
        <v>2.4500000000000002</v>
      </c>
      <c r="E37" s="12">
        <v>19</v>
      </c>
      <c r="F37" s="8">
        <v>1.64</v>
      </c>
      <c r="G37" s="12">
        <v>46</v>
      </c>
      <c r="H37" s="8">
        <v>3.09</v>
      </c>
      <c r="I37" s="12">
        <v>0</v>
      </c>
    </row>
    <row r="38" spans="2:9" ht="15" customHeight="1" x14ac:dyDescent="0.2">
      <c r="B38" t="s">
        <v>93</v>
      </c>
      <c r="C38" s="12">
        <v>62</v>
      </c>
      <c r="D38" s="8">
        <v>2.33</v>
      </c>
      <c r="E38" s="12">
        <v>2</v>
      </c>
      <c r="F38" s="8">
        <v>0.17</v>
      </c>
      <c r="G38" s="12">
        <v>58</v>
      </c>
      <c r="H38" s="8">
        <v>3.9</v>
      </c>
      <c r="I38" s="12">
        <v>0</v>
      </c>
    </row>
    <row r="39" spans="2:9" ht="15" customHeight="1" x14ac:dyDescent="0.2">
      <c r="B39" t="s">
        <v>90</v>
      </c>
      <c r="C39" s="12">
        <v>54</v>
      </c>
      <c r="D39" s="8">
        <v>2.0299999999999998</v>
      </c>
      <c r="E39" s="12">
        <v>18</v>
      </c>
      <c r="F39" s="8">
        <v>1.55</v>
      </c>
      <c r="G39" s="12">
        <v>36</v>
      </c>
      <c r="H39" s="8">
        <v>2.42</v>
      </c>
      <c r="I39" s="12">
        <v>0</v>
      </c>
    </row>
    <row r="40" spans="2:9" ht="15" customHeight="1" x14ac:dyDescent="0.2">
      <c r="B40" t="s">
        <v>79</v>
      </c>
      <c r="C40" s="12">
        <v>44</v>
      </c>
      <c r="D40" s="8">
        <v>1.66</v>
      </c>
      <c r="E40" s="12">
        <v>5</v>
      </c>
      <c r="F40" s="8">
        <v>0.43</v>
      </c>
      <c r="G40" s="12">
        <v>39</v>
      </c>
      <c r="H40" s="8">
        <v>2.62</v>
      </c>
      <c r="I40" s="12">
        <v>0</v>
      </c>
    </row>
    <row r="41" spans="2:9" ht="15" customHeight="1" x14ac:dyDescent="0.2">
      <c r="B41" t="s">
        <v>94</v>
      </c>
      <c r="C41" s="12">
        <v>39</v>
      </c>
      <c r="D41" s="8">
        <v>1.47</v>
      </c>
      <c r="E41" s="12">
        <v>0</v>
      </c>
      <c r="F41" s="8">
        <v>0</v>
      </c>
      <c r="G41" s="12">
        <v>38</v>
      </c>
      <c r="H41" s="8">
        <v>2.5499999999999998</v>
      </c>
      <c r="I41" s="12">
        <v>1</v>
      </c>
    </row>
    <row r="42" spans="2:9" ht="15" customHeight="1" x14ac:dyDescent="0.2">
      <c r="B42" t="s">
        <v>84</v>
      </c>
      <c r="C42" s="12">
        <v>33</v>
      </c>
      <c r="D42" s="8">
        <v>1.24</v>
      </c>
      <c r="E42" s="12">
        <v>9</v>
      </c>
      <c r="F42" s="8">
        <v>0.78</v>
      </c>
      <c r="G42" s="12">
        <v>24</v>
      </c>
      <c r="H42" s="8">
        <v>1.61</v>
      </c>
      <c r="I42" s="12">
        <v>0</v>
      </c>
    </row>
    <row r="43" spans="2:9" ht="15" customHeight="1" x14ac:dyDescent="0.2">
      <c r="B43" t="s">
        <v>97</v>
      </c>
      <c r="C43" s="12">
        <v>32</v>
      </c>
      <c r="D43" s="8">
        <v>1.2</v>
      </c>
      <c r="E43" s="12">
        <v>5</v>
      </c>
      <c r="F43" s="8">
        <v>0.43</v>
      </c>
      <c r="G43" s="12">
        <v>27</v>
      </c>
      <c r="H43" s="8">
        <v>1.81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145</v>
      </c>
      <c r="D47" s="8">
        <v>5.46</v>
      </c>
      <c r="E47" s="12">
        <v>125</v>
      </c>
      <c r="F47" s="8">
        <v>10.77</v>
      </c>
      <c r="G47" s="12">
        <v>20</v>
      </c>
      <c r="H47" s="8">
        <v>1.34</v>
      </c>
      <c r="I47" s="12">
        <v>0</v>
      </c>
    </row>
    <row r="48" spans="2:9" ht="15" customHeight="1" x14ac:dyDescent="0.2">
      <c r="B48" t="s">
        <v>132</v>
      </c>
      <c r="C48" s="12">
        <v>123</v>
      </c>
      <c r="D48" s="8">
        <v>4.63</v>
      </c>
      <c r="E48" s="12">
        <v>28</v>
      </c>
      <c r="F48" s="8">
        <v>2.41</v>
      </c>
      <c r="G48" s="12">
        <v>95</v>
      </c>
      <c r="H48" s="8">
        <v>6.38</v>
      </c>
      <c r="I48" s="12">
        <v>0</v>
      </c>
    </row>
    <row r="49" spans="2:9" ht="15" customHeight="1" x14ac:dyDescent="0.2">
      <c r="B49" t="s">
        <v>140</v>
      </c>
      <c r="C49" s="12">
        <v>100</v>
      </c>
      <c r="D49" s="8">
        <v>3.76</v>
      </c>
      <c r="E49" s="12">
        <v>84</v>
      </c>
      <c r="F49" s="8">
        <v>7.24</v>
      </c>
      <c r="G49" s="12">
        <v>15</v>
      </c>
      <c r="H49" s="8">
        <v>1.01</v>
      </c>
      <c r="I49" s="12">
        <v>1</v>
      </c>
    </row>
    <row r="50" spans="2:9" ht="15" customHeight="1" x14ac:dyDescent="0.2">
      <c r="B50" t="s">
        <v>141</v>
      </c>
      <c r="C50" s="12">
        <v>79</v>
      </c>
      <c r="D50" s="8">
        <v>2.97</v>
      </c>
      <c r="E50" s="12">
        <v>71</v>
      </c>
      <c r="F50" s="8">
        <v>6.12</v>
      </c>
      <c r="G50" s="12">
        <v>8</v>
      </c>
      <c r="H50" s="8">
        <v>0.54</v>
      </c>
      <c r="I50" s="12">
        <v>0</v>
      </c>
    </row>
    <row r="51" spans="2:9" ht="15" customHeight="1" x14ac:dyDescent="0.2">
      <c r="B51" t="s">
        <v>137</v>
      </c>
      <c r="C51" s="12">
        <v>72</v>
      </c>
      <c r="D51" s="8">
        <v>2.71</v>
      </c>
      <c r="E51" s="12">
        <v>66</v>
      </c>
      <c r="F51" s="8">
        <v>5.68</v>
      </c>
      <c r="G51" s="12">
        <v>6</v>
      </c>
      <c r="H51" s="8">
        <v>0.4</v>
      </c>
      <c r="I51" s="12">
        <v>0</v>
      </c>
    </row>
    <row r="52" spans="2:9" ht="15" customHeight="1" x14ac:dyDescent="0.2">
      <c r="B52" t="s">
        <v>139</v>
      </c>
      <c r="C52" s="12">
        <v>68</v>
      </c>
      <c r="D52" s="8">
        <v>2.56</v>
      </c>
      <c r="E52" s="12">
        <v>51</v>
      </c>
      <c r="F52" s="8">
        <v>4.3899999999999997</v>
      </c>
      <c r="G52" s="12">
        <v>17</v>
      </c>
      <c r="H52" s="8">
        <v>1.1399999999999999</v>
      </c>
      <c r="I52" s="12">
        <v>0</v>
      </c>
    </row>
    <row r="53" spans="2:9" ht="15" customHeight="1" x14ac:dyDescent="0.2">
      <c r="B53" t="s">
        <v>136</v>
      </c>
      <c r="C53" s="12">
        <v>65</v>
      </c>
      <c r="D53" s="8">
        <v>2.4500000000000002</v>
      </c>
      <c r="E53" s="12">
        <v>61</v>
      </c>
      <c r="F53" s="8">
        <v>5.25</v>
      </c>
      <c r="G53" s="12">
        <v>4</v>
      </c>
      <c r="H53" s="8">
        <v>0.27</v>
      </c>
      <c r="I53" s="12">
        <v>0</v>
      </c>
    </row>
    <row r="54" spans="2:9" ht="15" customHeight="1" x14ac:dyDescent="0.2">
      <c r="B54" t="s">
        <v>127</v>
      </c>
      <c r="C54" s="12">
        <v>61</v>
      </c>
      <c r="D54" s="8">
        <v>2.29</v>
      </c>
      <c r="E54" s="12">
        <v>36</v>
      </c>
      <c r="F54" s="8">
        <v>3.1</v>
      </c>
      <c r="G54" s="12">
        <v>25</v>
      </c>
      <c r="H54" s="8">
        <v>1.68</v>
      </c>
      <c r="I54" s="12">
        <v>0</v>
      </c>
    </row>
    <row r="55" spans="2:9" ht="15" customHeight="1" x14ac:dyDescent="0.2">
      <c r="B55" t="s">
        <v>122</v>
      </c>
      <c r="C55" s="12">
        <v>57</v>
      </c>
      <c r="D55" s="8">
        <v>2.14</v>
      </c>
      <c r="E55" s="12">
        <v>13</v>
      </c>
      <c r="F55" s="8">
        <v>1.1200000000000001</v>
      </c>
      <c r="G55" s="12">
        <v>44</v>
      </c>
      <c r="H55" s="8">
        <v>2.96</v>
      </c>
      <c r="I55" s="12">
        <v>0</v>
      </c>
    </row>
    <row r="56" spans="2:9" ht="15" customHeight="1" x14ac:dyDescent="0.2">
      <c r="B56" t="s">
        <v>129</v>
      </c>
      <c r="C56" s="12">
        <v>54</v>
      </c>
      <c r="D56" s="8">
        <v>2.0299999999999998</v>
      </c>
      <c r="E56" s="12">
        <v>31</v>
      </c>
      <c r="F56" s="8">
        <v>2.67</v>
      </c>
      <c r="G56" s="12">
        <v>23</v>
      </c>
      <c r="H56" s="8">
        <v>1.55</v>
      </c>
      <c r="I56" s="12">
        <v>0</v>
      </c>
    </row>
    <row r="57" spans="2:9" ht="15" customHeight="1" x14ac:dyDescent="0.2">
      <c r="B57" t="s">
        <v>125</v>
      </c>
      <c r="C57" s="12">
        <v>52</v>
      </c>
      <c r="D57" s="8">
        <v>1.96</v>
      </c>
      <c r="E57" s="12">
        <v>14</v>
      </c>
      <c r="F57" s="8">
        <v>1.21</v>
      </c>
      <c r="G57" s="12">
        <v>38</v>
      </c>
      <c r="H57" s="8">
        <v>2.5499999999999998</v>
      </c>
      <c r="I57" s="12">
        <v>0</v>
      </c>
    </row>
    <row r="58" spans="2:9" ht="15" customHeight="1" x14ac:dyDescent="0.2">
      <c r="B58" t="s">
        <v>133</v>
      </c>
      <c r="C58" s="12">
        <v>45</v>
      </c>
      <c r="D58" s="8">
        <v>1.69</v>
      </c>
      <c r="E58" s="12">
        <v>38</v>
      </c>
      <c r="F58" s="8">
        <v>3.27</v>
      </c>
      <c r="G58" s="12">
        <v>7</v>
      </c>
      <c r="H58" s="8">
        <v>0.47</v>
      </c>
      <c r="I58" s="12">
        <v>0</v>
      </c>
    </row>
    <row r="59" spans="2:9" ht="15" customHeight="1" x14ac:dyDescent="0.2">
      <c r="B59" t="s">
        <v>159</v>
      </c>
      <c r="C59" s="12">
        <v>43</v>
      </c>
      <c r="D59" s="8">
        <v>1.62</v>
      </c>
      <c r="E59" s="12">
        <v>8</v>
      </c>
      <c r="F59" s="8">
        <v>0.69</v>
      </c>
      <c r="G59" s="12">
        <v>35</v>
      </c>
      <c r="H59" s="8">
        <v>2.35</v>
      </c>
      <c r="I59" s="12">
        <v>0</v>
      </c>
    </row>
    <row r="60" spans="2:9" ht="15" customHeight="1" x14ac:dyDescent="0.2">
      <c r="B60" t="s">
        <v>131</v>
      </c>
      <c r="C60" s="12">
        <v>43</v>
      </c>
      <c r="D60" s="8">
        <v>1.62</v>
      </c>
      <c r="E60" s="12">
        <v>2</v>
      </c>
      <c r="F60" s="8">
        <v>0.17</v>
      </c>
      <c r="G60" s="12">
        <v>41</v>
      </c>
      <c r="H60" s="8">
        <v>2.76</v>
      </c>
      <c r="I60" s="12">
        <v>0</v>
      </c>
    </row>
    <row r="61" spans="2:9" ht="15" customHeight="1" x14ac:dyDescent="0.2">
      <c r="B61" t="s">
        <v>143</v>
      </c>
      <c r="C61" s="12">
        <v>43</v>
      </c>
      <c r="D61" s="8">
        <v>1.62</v>
      </c>
      <c r="E61" s="12">
        <v>2</v>
      </c>
      <c r="F61" s="8">
        <v>0.17</v>
      </c>
      <c r="G61" s="12">
        <v>41</v>
      </c>
      <c r="H61" s="8">
        <v>2.76</v>
      </c>
      <c r="I61" s="12">
        <v>0</v>
      </c>
    </row>
    <row r="62" spans="2:9" ht="15" customHeight="1" x14ac:dyDescent="0.2">
      <c r="B62" t="s">
        <v>150</v>
      </c>
      <c r="C62" s="12">
        <v>39</v>
      </c>
      <c r="D62" s="8">
        <v>1.47</v>
      </c>
      <c r="E62" s="12">
        <v>5</v>
      </c>
      <c r="F62" s="8">
        <v>0.43</v>
      </c>
      <c r="G62" s="12">
        <v>34</v>
      </c>
      <c r="H62" s="8">
        <v>2.2799999999999998</v>
      </c>
      <c r="I62" s="12">
        <v>0</v>
      </c>
    </row>
    <row r="63" spans="2:9" ht="15" customHeight="1" x14ac:dyDescent="0.2">
      <c r="B63" t="s">
        <v>123</v>
      </c>
      <c r="C63" s="12">
        <v>36</v>
      </c>
      <c r="D63" s="8">
        <v>1.35</v>
      </c>
      <c r="E63" s="12">
        <v>6</v>
      </c>
      <c r="F63" s="8">
        <v>0.52</v>
      </c>
      <c r="G63" s="12">
        <v>30</v>
      </c>
      <c r="H63" s="8">
        <v>2.02</v>
      </c>
      <c r="I63" s="12">
        <v>0</v>
      </c>
    </row>
    <row r="64" spans="2:9" ht="15" customHeight="1" x14ac:dyDescent="0.2">
      <c r="B64" t="s">
        <v>134</v>
      </c>
      <c r="C64" s="12">
        <v>36</v>
      </c>
      <c r="D64" s="8">
        <v>1.35</v>
      </c>
      <c r="E64" s="12">
        <v>31</v>
      </c>
      <c r="F64" s="8">
        <v>2.67</v>
      </c>
      <c r="G64" s="12">
        <v>5</v>
      </c>
      <c r="H64" s="8">
        <v>0.34</v>
      </c>
      <c r="I64" s="12">
        <v>0</v>
      </c>
    </row>
    <row r="65" spans="2:9" ht="15" customHeight="1" x14ac:dyDescent="0.2">
      <c r="B65" t="s">
        <v>151</v>
      </c>
      <c r="C65" s="12">
        <v>35</v>
      </c>
      <c r="D65" s="8">
        <v>1.32</v>
      </c>
      <c r="E65" s="12">
        <v>17</v>
      </c>
      <c r="F65" s="8">
        <v>1.46</v>
      </c>
      <c r="G65" s="12">
        <v>18</v>
      </c>
      <c r="H65" s="8">
        <v>1.21</v>
      </c>
      <c r="I65" s="12">
        <v>0</v>
      </c>
    </row>
    <row r="66" spans="2:9" ht="15" customHeight="1" x14ac:dyDescent="0.2">
      <c r="B66" t="s">
        <v>126</v>
      </c>
      <c r="C66" s="12">
        <v>35</v>
      </c>
      <c r="D66" s="8">
        <v>1.32</v>
      </c>
      <c r="E66" s="12">
        <v>17</v>
      </c>
      <c r="F66" s="8">
        <v>1.46</v>
      </c>
      <c r="G66" s="12">
        <v>18</v>
      </c>
      <c r="H66" s="8">
        <v>1.21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62EDE-6796-460B-AFE0-C66A3D10A5A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227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463</v>
      </c>
      <c r="D6" s="8">
        <v>4.7</v>
      </c>
      <c r="E6" s="12">
        <v>28</v>
      </c>
      <c r="F6" s="8">
        <v>0.64</v>
      </c>
      <c r="G6" s="12">
        <v>433</v>
      </c>
      <c r="H6" s="8">
        <v>7.97</v>
      </c>
      <c r="I6" s="12">
        <v>2</v>
      </c>
    </row>
    <row r="7" spans="2:9" ht="15" customHeight="1" x14ac:dyDescent="0.2">
      <c r="B7" t="s">
        <v>53</v>
      </c>
      <c r="C7" s="12">
        <v>301</v>
      </c>
      <c r="D7" s="8">
        <v>3.05</v>
      </c>
      <c r="E7" s="12">
        <v>67</v>
      </c>
      <c r="F7" s="8">
        <v>1.53</v>
      </c>
      <c r="G7" s="12">
        <v>234</v>
      </c>
      <c r="H7" s="8">
        <v>4.3099999999999996</v>
      </c>
      <c r="I7" s="12">
        <v>0</v>
      </c>
    </row>
    <row r="8" spans="2:9" ht="15" customHeight="1" x14ac:dyDescent="0.2">
      <c r="B8" t="s">
        <v>54</v>
      </c>
      <c r="C8" s="12">
        <v>9</v>
      </c>
      <c r="D8" s="8">
        <v>0.09</v>
      </c>
      <c r="E8" s="12">
        <v>0</v>
      </c>
      <c r="F8" s="8">
        <v>0</v>
      </c>
      <c r="G8" s="12">
        <v>9</v>
      </c>
      <c r="H8" s="8">
        <v>0.17</v>
      </c>
      <c r="I8" s="12">
        <v>0</v>
      </c>
    </row>
    <row r="9" spans="2:9" ht="15" customHeight="1" x14ac:dyDescent="0.2">
      <c r="B9" t="s">
        <v>55</v>
      </c>
      <c r="C9" s="12">
        <v>177</v>
      </c>
      <c r="D9" s="8">
        <v>1.8</v>
      </c>
      <c r="E9" s="12">
        <v>12</v>
      </c>
      <c r="F9" s="8">
        <v>0.27</v>
      </c>
      <c r="G9" s="12">
        <v>165</v>
      </c>
      <c r="H9" s="8">
        <v>3.04</v>
      </c>
      <c r="I9" s="12">
        <v>0</v>
      </c>
    </row>
    <row r="10" spans="2:9" ht="15" customHeight="1" x14ac:dyDescent="0.2">
      <c r="B10" t="s">
        <v>56</v>
      </c>
      <c r="C10" s="12">
        <v>190</v>
      </c>
      <c r="D10" s="8">
        <v>1.93</v>
      </c>
      <c r="E10" s="12">
        <v>5</v>
      </c>
      <c r="F10" s="8">
        <v>0.11</v>
      </c>
      <c r="G10" s="12">
        <v>185</v>
      </c>
      <c r="H10" s="8">
        <v>3.4</v>
      </c>
      <c r="I10" s="12">
        <v>0</v>
      </c>
    </row>
    <row r="11" spans="2:9" ht="15" customHeight="1" x14ac:dyDescent="0.2">
      <c r="B11" t="s">
        <v>57</v>
      </c>
      <c r="C11" s="12">
        <v>2415</v>
      </c>
      <c r="D11" s="8">
        <v>24.5</v>
      </c>
      <c r="E11" s="12">
        <v>699</v>
      </c>
      <c r="F11" s="8">
        <v>15.93</v>
      </c>
      <c r="G11" s="12">
        <v>1714</v>
      </c>
      <c r="H11" s="8">
        <v>31.54</v>
      </c>
      <c r="I11" s="12">
        <v>2</v>
      </c>
    </row>
    <row r="12" spans="2:9" ht="15" customHeight="1" x14ac:dyDescent="0.2">
      <c r="B12" t="s">
        <v>58</v>
      </c>
      <c r="C12" s="12">
        <v>86</v>
      </c>
      <c r="D12" s="8">
        <v>0.87</v>
      </c>
      <c r="E12" s="12">
        <v>6</v>
      </c>
      <c r="F12" s="8">
        <v>0.14000000000000001</v>
      </c>
      <c r="G12" s="12">
        <v>80</v>
      </c>
      <c r="H12" s="8">
        <v>1.47</v>
      </c>
      <c r="I12" s="12">
        <v>0</v>
      </c>
    </row>
    <row r="13" spans="2:9" ht="15" customHeight="1" x14ac:dyDescent="0.2">
      <c r="B13" t="s">
        <v>59</v>
      </c>
      <c r="C13" s="12">
        <v>1151</v>
      </c>
      <c r="D13" s="8">
        <v>11.68</v>
      </c>
      <c r="E13" s="12">
        <v>222</v>
      </c>
      <c r="F13" s="8">
        <v>5.0599999999999996</v>
      </c>
      <c r="G13" s="12">
        <v>925</v>
      </c>
      <c r="H13" s="8">
        <v>17.02</v>
      </c>
      <c r="I13" s="12">
        <v>4</v>
      </c>
    </row>
    <row r="14" spans="2:9" ht="15" customHeight="1" x14ac:dyDescent="0.2">
      <c r="B14" t="s">
        <v>60</v>
      </c>
      <c r="C14" s="12">
        <v>1240</v>
      </c>
      <c r="D14" s="8">
        <v>12.58</v>
      </c>
      <c r="E14" s="12">
        <v>693</v>
      </c>
      <c r="F14" s="8">
        <v>15.8</v>
      </c>
      <c r="G14" s="12">
        <v>539</v>
      </c>
      <c r="H14" s="8">
        <v>9.92</v>
      </c>
      <c r="I14" s="12">
        <v>8</v>
      </c>
    </row>
    <row r="15" spans="2:9" ht="15" customHeight="1" x14ac:dyDescent="0.2">
      <c r="B15" t="s">
        <v>61</v>
      </c>
      <c r="C15" s="12">
        <v>2137</v>
      </c>
      <c r="D15" s="8">
        <v>21.68</v>
      </c>
      <c r="E15" s="12">
        <v>1787</v>
      </c>
      <c r="F15" s="8">
        <v>40.729999999999997</v>
      </c>
      <c r="G15" s="12">
        <v>350</v>
      </c>
      <c r="H15" s="8">
        <v>6.44</v>
      </c>
      <c r="I15" s="12">
        <v>0</v>
      </c>
    </row>
    <row r="16" spans="2:9" ht="15" customHeight="1" x14ac:dyDescent="0.2">
      <c r="B16" t="s">
        <v>62</v>
      </c>
      <c r="C16" s="12">
        <v>741</v>
      </c>
      <c r="D16" s="8">
        <v>7.52</v>
      </c>
      <c r="E16" s="12">
        <v>480</v>
      </c>
      <c r="F16" s="8">
        <v>10.94</v>
      </c>
      <c r="G16" s="12">
        <v>258</v>
      </c>
      <c r="H16" s="8">
        <v>4.75</v>
      </c>
      <c r="I16" s="12">
        <v>1</v>
      </c>
    </row>
    <row r="17" spans="2:9" ht="15" customHeight="1" x14ac:dyDescent="0.2">
      <c r="B17" t="s">
        <v>63</v>
      </c>
      <c r="C17" s="12">
        <v>245</v>
      </c>
      <c r="D17" s="8">
        <v>2.4900000000000002</v>
      </c>
      <c r="E17" s="12">
        <v>122</v>
      </c>
      <c r="F17" s="8">
        <v>2.78</v>
      </c>
      <c r="G17" s="12">
        <v>118</v>
      </c>
      <c r="H17" s="8">
        <v>2.17</v>
      </c>
      <c r="I17" s="12">
        <v>2</v>
      </c>
    </row>
    <row r="18" spans="2:9" ht="15" customHeight="1" x14ac:dyDescent="0.2">
      <c r="B18" t="s">
        <v>64</v>
      </c>
      <c r="C18" s="12">
        <v>352</v>
      </c>
      <c r="D18" s="8">
        <v>3.57</v>
      </c>
      <c r="E18" s="12">
        <v>220</v>
      </c>
      <c r="F18" s="8">
        <v>5.01</v>
      </c>
      <c r="G18" s="12">
        <v>125</v>
      </c>
      <c r="H18" s="8">
        <v>2.2999999999999998</v>
      </c>
      <c r="I18" s="12">
        <v>5</v>
      </c>
    </row>
    <row r="19" spans="2:9" ht="15" customHeight="1" x14ac:dyDescent="0.2">
      <c r="B19" t="s">
        <v>65</v>
      </c>
      <c r="C19" s="12">
        <v>350</v>
      </c>
      <c r="D19" s="8">
        <v>3.55</v>
      </c>
      <c r="E19" s="12">
        <v>46</v>
      </c>
      <c r="F19" s="8">
        <v>1.05</v>
      </c>
      <c r="G19" s="12">
        <v>299</v>
      </c>
      <c r="H19" s="8">
        <v>5.5</v>
      </c>
      <c r="I19" s="12">
        <v>3</v>
      </c>
    </row>
    <row r="20" spans="2:9" ht="15" customHeight="1" x14ac:dyDescent="0.2">
      <c r="B20" s="9" t="s">
        <v>215</v>
      </c>
      <c r="C20" s="12">
        <f>SUM(LTBL_28110[総数／事業所数])</f>
        <v>9857</v>
      </c>
      <c r="E20" s="12">
        <f>SUBTOTAL(109,LTBL_28110[個人／事業所数])</f>
        <v>4387</v>
      </c>
      <c r="G20" s="12">
        <f>SUBTOTAL(109,LTBL_28110[法人／事業所数])</f>
        <v>5434</v>
      </c>
      <c r="I20" s="12">
        <f>SUBTOTAL(109,LTBL_28110[法人以外の団体／事業所数])</f>
        <v>27</v>
      </c>
    </row>
    <row r="21" spans="2:9" ht="15" customHeight="1" x14ac:dyDescent="0.2">
      <c r="E21" s="11">
        <f>LTBL_28110[[#Totals],[個人／事業所数]]/LTBL_28110[[#Totals],[総数／事業所数]]</f>
        <v>0.44506442122349599</v>
      </c>
      <c r="G21" s="11">
        <f>LTBL_28110[[#Totals],[法人／事業所数]]/LTBL_28110[[#Totals],[総数／事業所数]]</f>
        <v>0.55128335193263667</v>
      </c>
      <c r="I21" s="11">
        <f>LTBL_28110[[#Totals],[法人以外の団体／事業所数]]/LTBL_28110[[#Totals],[総数／事業所数]]</f>
        <v>2.7391701329004766E-3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2068</v>
      </c>
      <c r="D24" s="8">
        <v>20.98</v>
      </c>
      <c r="E24" s="12">
        <v>1769</v>
      </c>
      <c r="F24" s="8">
        <v>40.32</v>
      </c>
      <c r="G24" s="12">
        <v>299</v>
      </c>
      <c r="H24" s="8">
        <v>5.5</v>
      </c>
      <c r="I24" s="12">
        <v>0</v>
      </c>
    </row>
    <row r="25" spans="2:9" ht="15" customHeight="1" x14ac:dyDescent="0.2">
      <c r="B25" t="s">
        <v>86</v>
      </c>
      <c r="C25" s="12">
        <v>915</v>
      </c>
      <c r="D25" s="8">
        <v>9.2799999999999994</v>
      </c>
      <c r="E25" s="12">
        <v>627</v>
      </c>
      <c r="F25" s="8">
        <v>14.29</v>
      </c>
      <c r="G25" s="12">
        <v>282</v>
      </c>
      <c r="H25" s="8">
        <v>5.19</v>
      </c>
      <c r="I25" s="12">
        <v>6</v>
      </c>
    </row>
    <row r="26" spans="2:9" ht="15" customHeight="1" x14ac:dyDescent="0.2">
      <c r="B26" t="s">
        <v>85</v>
      </c>
      <c r="C26" s="12">
        <v>858</v>
      </c>
      <c r="D26" s="8">
        <v>8.6999999999999993</v>
      </c>
      <c r="E26" s="12">
        <v>192</v>
      </c>
      <c r="F26" s="8">
        <v>4.38</v>
      </c>
      <c r="G26" s="12">
        <v>662</v>
      </c>
      <c r="H26" s="8">
        <v>12.18</v>
      </c>
      <c r="I26" s="12">
        <v>4</v>
      </c>
    </row>
    <row r="27" spans="2:9" ht="15" customHeight="1" x14ac:dyDescent="0.2">
      <c r="B27" t="s">
        <v>83</v>
      </c>
      <c r="C27" s="12">
        <v>602</v>
      </c>
      <c r="D27" s="8">
        <v>6.11</v>
      </c>
      <c r="E27" s="12">
        <v>245</v>
      </c>
      <c r="F27" s="8">
        <v>5.58</v>
      </c>
      <c r="G27" s="12">
        <v>355</v>
      </c>
      <c r="H27" s="8">
        <v>6.53</v>
      </c>
      <c r="I27" s="12">
        <v>2</v>
      </c>
    </row>
    <row r="28" spans="2:9" ht="15" customHeight="1" x14ac:dyDescent="0.2">
      <c r="B28" t="s">
        <v>80</v>
      </c>
      <c r="C28" s="12">
        <v>573</v>
      </c>
      <c r="D28" s="8">
        <v>5.81</v>
      </c>
      <c r="E28" s="12">
        <v>205</v>
      </c>
      <c r="F28" s="8">
        <v>4.67</v>
      </c>
      <c r="G28" s="12">
        <v>368</v>
      </c>
      <c r="H28" s="8">
        <v>6.77</v>
      </c>
      <c r="I28" s="12">
        <v>0</v>
      </c>
    </row>
    <row r="29" spans="2:9" ht="15" customHeight="1" x14ac:dyDescent="0.2">
      <c r="B29" t="s">
        <v>89</v>
      </c>
      <c r="C29" s="12">
        <v>529</v>
      </c>
      <c r="D29" s="8">
        <v>5.37</v>
      </c>
      <c r="E29" s="12">
        <v>395</v>
      </c>
      <c r="F29" s="8">
        <v>9</v>
      </c>
      <c r="G29" s="12">
        <v>134</v>
      </c>
      <c r="H29" s="8">
        <v>2.4700000000000002</v>
      </c>
      <c r="I29" s="12">
        <v>0</v>
      </c>
    </row>
    <row r="30" spans="2:9" ht="15" customHeight="1" x14ac:dyDescent="0.2">
      <c r="B30" t="s">
        <v>81</v>
      </c>
      <c r="C30" s="12">
        <v>298</v>
      </c>
      <c r="D30" s="8">
        <v>3.02</v>
      </c>
      <c r="E30" s="12">
        <v>155</v>
      </c>
      <c r="F30" s="8">
        <v>3.53</v>
      </c>
      <c r="G30" s="12">
        <v>143</v>
      </c>
      <c r="H30" s="8">
        <v>2.63</v>
      </c>
      <c r="I30" s="12">
        <v>0</v>
      </c>
    </row>
    <row r="31" spans="2:9" ht="15" customHeight="1" x14ac:dyDescent="0.2">
      <c r="B31" t="s">
        <v>87</v>
      </c>
      <c r="C31" s="12">
        <v>278</v>
      </c>
      <c r="D31" s="8">
        <v>2.82</v>
      </c>
      <c r="E31" s="12">
        <v>66</v>
      </c>
      <c r="F31" s="8">
        <v>1.5</v>
      </c>
      <c r="G31" s="12">
        <v>212</v>
      </c>
      <c r="H31" s="8">
        <v>3.9</v>
      </c>
      <c r="I31" s="12">
        <v>0</v>
      </c>
    </row>
    <row r="32" spans="2:9" ht="15" customHeight="1" x14ac:dyDescent="0.2">
      <c r="B32" t="s">
        <v>92</v>
      </c>
      <c r="C32" s="12">
        <v>267</v>
      </c>
      <c r="D32" s="8">
        <v>2.71</v>
      </c>
      <c r="E32" s="12">
        <v>219</v>
      </c>
      <c r="F32" s="8">
        <v>4.99</v>
      </c>
      <c r="G32" s="12">
        <v>47</v>
      </c>
      <c r="H32" s="8">
        <v>0.86</v>
      </c>
      <c r="I32" s="12">
        <v>1</v>
      </c>
    </row>
    <row r="33" spans="2:9" ht="15" customHeight="1" x14ac:dyDescent="0.2">
      <c r="B33" t="s">
        <v>84</v>
      </c>
      <c r="C33" s="12">
        <v>249</v>
      </c>
      <c r="D33" s="8">
        <v>2.5299999999999998</v>
      </c>
      <c r="E33" s="12">
        <v>23</v>
      </c>
      <c r="F33" s="8">
        <v>0.52</v>
      </c>
      <c r="G33" s="12">
        <v>226</v>
      </c>
      <c r="H33" s="8">
        <v>4.16</v>
      </c>
      <c r="I33" s="12">
        <v>0</v>
      </c>
    </row>
    <row r="34" spans="2:9" ht="15" customHeight="1" x14ac:dyDescent="0.2">
      <c r="B34" t="s">
        <v>91</v>
      </c>
      <c r="C34" s="12">
        <v>245</v>
      </c>
      <c r="D34" s="8">
        <v>2.4900000000000002</v>
      </c>
      <c r="E34" s="12">
        <v>122</v>
      </c>
      <c r="F34" s="8">
        <v>2.78</v>
      </c>
      <c r="G34" s="12">
        <v>118</v>
      </c>
      <c r="H34" s="8">
        <v>2.17</v>
      </c>
      <c r="I34" s="12">
        <v>2</v>
      </c>
    </row>
    <row r="35" spans="2:9" ht="15" customHeight="1" x14ac:dyDescent="0.2">
      <c r="B35" t="s">
        <v>79</v>
      </c>
      <c r="C35" s="12">
        <v>222</v>
      </c>
      <c r="D35" s="8">
        <v>2.25</v>
      </c>
      <c r="E35" s="12">
        <v>22</v>
      </c>
      <c r="F35" s="8">
        <v>0.5</v>
      </c>
      <c r="G35" s="12">
        <v>200</v>
      </c>
      <c r="H35" s="8">
        <v>3.68</v>
      </c>
      <c r="I35" s="12">
        <v>0</v>
      </c>
    </row>
    <row r="36" spans="2:9" ht="15" customHeight="1" x14ac:dyDescent="0.2">
      <c r="B36" t="s">
        <v>74</v>
      </c>
      <c r="C36" s="12">
        <v>219</v>
      </c>
      <c r="D36" s="8">
        <v>2.2200000000000002</v>
      </c>
      <c r="E36" s="12">
        <v>6</v>
      </c>
      <c r="F36" s="8">
        <v>0.14000000000000001</v>
      </c>
      <c r="G36" s="12">
        <v>212</v>
      </c>
      <c r="H36" s="8">
        <v>3.9</v>
      </c>
      <c r="I36" s="12">
        <v>1</v>
      </c>
    </row>
    <row r="37" spans="2:9" ht="15" customHeight="1" x14ac:dyDescent="0.2">
      <c r="B37" t="s">
        <v>78</v>
      </c>
      <c r="C37" s="12">
        <v>207</v>
      </c>
      <c r="D37" s="8">
        <v>2.1</v>
      </c>
      <c r="E37" s="12">
        <v>7</v>
      </c>
      <c r="F37" s="8">
        <v>0.16</v>
      </c>
      <c r="G37" s="12">
        <v>200</v>
      </c>
      <c r="H37" s="8">
        <v>3.68</v>
      </c>
      <c r="I37" s="12">
        <v>0</v>
      </c>
    </row>
    <row r="38" spans="2:9" ht="15" customHeight="1" x14ac:dyDescent="0.2">
      <c r="B38" t="s">
        <v>94</v>
      </c>
      <c r="C38" s="12">
        <v>197</v>
      </c>
      <c r="D38" s="8">
        <v>2</v>
      </c>
      <c r="E38" s="12">
        <v>16</v>
      </c>
      <c r="F38" s="8">
        <v>0.36</v>
      </c>
      <c r="G38" s="12">
        <v>178</v>
      </c>
      <c r="H38" s="8">
        <v>3.28</v>
      </c>
      <c r="I38" s="12">
        <v>3</v>
      </c>
    </row>
    <row r="39" spans="2:9" ht="15" customHeight="1" x14ac:dyDescent="0.2">
      <c r="B39" t="s">
        <v>90</v>
      </c>
      <c r="C39" s="12">
        <v>142</v>
      </c>
      <c r="D39" s="8">
        <v>1.44</v>
      </c>
      <c r="E39" s="12">
        <v>50</v>
      </c>
      <c r="F39" s="8">
        <v>1.1399999999999999</v>
      </c>
      <c r="G39" s="12">
        <v>92</v>
      </c>
      <c r="H39" s="8">
        <v>1.69</v>
      </c>
      <c r="I39" s="12">
        <v>0</v>
      </c>
    </row>
    <row r="40" spans="2:9" ht="15" customHeight="1" x14ac:dyDescent="0.2">
      <c r="B40" t="s">
        <v>95</v>
      </c>
      <c r="C40" s="12">
        <v>141</v>
      </c>
      <c r="D40" s="8">
        <v>1.43</v>
      </c>
      <c r="E40" s="12">
        <v>18</v>
      </c>
      <c r="F40" s="8">
        <v>0.41</v>
      </c>
      <c r="G40" s="12">
        <v>123</v>
      </c>
      <c r="H40" s="8">
        <v>2.2599999999999998</v>
      </c>
      <c r="I40" s="12">
        <v>0</v>
      </c>
    </row>
    <row r="41" spans="2:9" ht="15" customHeight="1" x14ac:dyDescent="0.2">
      <c r="B41" t="s">
        <v>76</v>
      </c>
      <c r="C41" s="12">
        <v>137</v>
      </c>
      <c r="D41" s="8">
        <v>1.39</v>
      </c>
      <c r="E41" s="12">
        <v>8</v>
      </c>
      <c r="F41" s="8">
        <v>0.18</v>
      </c>
      <c r="G41" s="12">
        <v>129</v>
      </c>
      <c r="H41" s="8">
        <v>2.37</v>
      </c>
      <c r="I41" s="12">
        <v>0</v>
      </c>
    </row>
    <row r="42" spans="2:9" ht="15" customHeight="1" x14ac:dyDescent="0.2">
      <c r="B42" t="s">
        <v>97</v>
      </c>
      <c r="C42" s="12">
        <v>108</v>
      </c>
      <c r="D42" s="8">
        <v>1.1000000000000001</v>
      </c>
      <c r="E42" s="12">
        <v>6</v>
      </c>
      <c r="F42" s="8">
        <v>0.14000000000000001</v>
      </c>
      <c r="G42" s="12">
        <v>102</v>
      </c>
      <c r="H42" s="8">
        <v>1.88</v>
      </c>
      <c r="I42" s="12">
        <v>0</v>
      </c>
    </row>
    <row r="43" spans="2:9" ht="15" customHeight="1" x14ac:dyDescent="0.2">
      <c r="B43" t="s">
        <v>75</v>
      </c>
      <c r="C43" s="12">
        <v>107</v>
      </c>
      <c r="D43" s="8">
        <v>1.0900000000000001</v>
      </c>
      <c r="E43" s="12">
        <v>14</v>
      </c>
      <c r="F43" s="8">
        <v>0.32</v>
      </c>
      <c r="G43" s="12">
        <v>92</v>
      </c>
      <c r="H43" s="8">
        <v>1.69</v>
      </c>
      <c r="I43" s="12">
        <v>1</v>
      </c>
    </row>
    <row r="44" spans="2:9" ht="15" customHeight="1" x14ac:dyDescent="0.2">
      <c r="B44" t="s">
        <v>103</v>
      </c>
      <c r="C44" s="12">
        <v>107</v>
      </c>
      <c r="D44" s="8">
        <v>1.0900000000000001</v>
      </c>
      <c r="E44" s="12">
        <v>7</v>
      </c>
      <c r="F44" s="8">
        <v>0.16</v>
      </c>
      <c r="G44" s="12">
        <v>100</v>
      </c>
      <c r="H44" s="8">
        <v>1.84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135</v>
      </c>
      <c r="C48" s="12">
        <v>719</v>
      </c>
      <c r="D48" s="8">
        <v>7.29</v>
      </c>
      <c r="E48" s="12">
        <v>681</v>
      </c>
      <c r="F48" s="8">
        <v>15.52</v>
      </c>
      <c r="G48" s="12">
        <v>38</v>
      </c>
      <c r="H48" s="8">
        <v>0.7</v>
      </c>
      <c r="I48" s="12">
        <v>0</v>
      </c>
    </row>
    <row r="49" spans="2:9" ht="15" customHeight="1" x14ac:dyDescent="0.2">
      <c r="B49" t="s">
        <v>133</v>
      </c>
      <c r="C49" s="12">
        <v>533</v>
      </c>
      <c r="D49" s="8">
        <v>5.41</v>
      </c>
      <c r="E49" s="12">
        <v>411</v>
      </c>
      <c r="F49" s="8">
        <v>9.3699999999999992</v>
      </c>
      <c r="G49" s="12">
        <v>122</v>
      </c>
      <c r="H49" s="8">
        <v>2.25</v>
      </c>
      <c r="I49" s="12">
        <v>0</v>
      </c>
    </row>
    <row r="50" spans="2:9" ht="15" customHeight="1" x14ac:dyDescent="0.2">
      <c r="B50" t="s">
        <v>132</v>
      </c>
      <c r="C50" s="12">
        <v>410</v>
      </c>
      <c r="D50" s="8">
        <v>4.16</v>
      </c>
      <c r="E50" s="12">
        <v>122</v>
      </c>
      <c r="F50" s="8">
        <v>2.78</v>
      </c>
      <c r="G50" s="12">
        <v>288</v>
      </c>
      <c r="H50" s="8">
        <v>5.3</v>
      </c>
      <c r="I50" s="12">
        <v>0</v>
      </c>
    </row>
    <row r="51" spans="2:9" ht="15" customHeight="1" x14ac:dyDescent="0.2">
      <c r="B51" t="s">
        <v>134</v>
      </c>
      <c r="C51" s="12">
        <v>330</v>
      </c>
      <c r="D51" s="8">
        <v>3.35</v>
      </c>
      <c r="E51" s="12">
        <v>285</v>
      </c>
      <c r="F51" s="8">
        <v>6.5</v>
      </c>
      <c r="G51" s="12">
        <v>45</v>
      </c>
      <c r="H51" s="8">
        <v>0.83</v>
      </c>
      <c r="I51" s="12">
        <v>0</v>
      </c>
    </row>
    <row r="52" spans="2:9" ht="15" customHeight="1" x14ac:dyDescent="0.2">
      <c r="B52" t="s">
        <v>129</v>
      </c>
      <c r="C52" s="12">
        <v>260</v>
      </c>
      <c r="D52" s="8">
        <v>2.64</v>
      </c>
      <c r="E52" s="12">
        <v>134</v>
      </c>
      <c r="F52" s="8">
        <v>3.05</v>
      </c>
      <c r="G52" s="12">
        <v>125</v>
      </c>
      <c r="H52" s="8">
        <v>2.2999999999999998</v>
      </c>
      <c r="I52" s="12">
        <v>1</v>
      </c>
    </row>
    <row r="53" spans="2:9" ht="15" customHeight="1" x14ac:dyDescent="0.2">
      <c r="B53" t="s">
        <v>138</v>
      </c>
      <c r="C53" s="12">
        <v>257</v>
      </c>
      <c r="D53" s="8">
        <v>2.61</v>
      </c>
      <c r="E53" s="12">
        <v>210</v>
      </c>
      <c r="F53" s="8">
        <v>4.79</v>
      </c>
      <c r="G53" s="12">
        <v>47</v>
      </c>
      <c r="H53" s="8">
        <v>0.86</v>
      </c>
      <c r="I53" s="12">
        <v>0</v>
      </c>
    </row>
    <row r="54" spans="2:9" ht="15" customHeight="1" x14ac:dyDescent="0.2">
      <c r="B54" t="s">
        <v>125</v>
      </c>
      <c r="C54" s="12">
        <v>254</v>
      </c>
      <c r="D54" s="8">
        <v>2.58</v>
      </c>
      <c r="E54" s="12">
        <v>95</v>
      </c>
      <c r="F54" s="8">
        <v>2.17</v>
      </c>
      <c r="G54" s="12">
        <v>159</v>
      </c>
      <c r="H54" s="8">
        <v>2.93</v>
      </c>
      <c r="I54" s="12">
        <v>0</v>
      </c>
    </row>
    <row r="55" spans="2:9" ht="15" customHeight="1" x14ac:dyDescent="0.2">
      <c r="B55" t="s">
        <v>131</v>
      </c>
      <c r="C55" s="12">
        <v>237</v>
      </c>
      <c r="D55" s="8">
        <v>2.4</v>
      </c>
      <c r="E55" s="12">
        <v>32</v>
      </c>
      <c r="F55" s="8">
        <v>0.73</v>
      </c>
      <c r="G55" s="12">
        <v>205</v>
      </c>
      <c r="H55" s="8">
        <v>3.77</v>
      </c>
      <c r="I55" s="12">
        <v>0</v>
      </c>
    </row>
    <row r="56" spans="2:9" ht="15" customHeight="1" x14ac:dyDescent="0.2">
      <c r="B56" t="s">
        <v>163</v>
      </c>
      <c r="C56" s="12">
        <v>236</v>
      </c>
      <c r="D56" s="8">
        <v>2.39</v>
      </c>
      <c r="E56" s="12">
        <v>220</v>
      </c>
      <c r="F56" s="8">
        <v>5.01</v>
      </c>
      <c r="G56" s="12">
        <v>16</v>
      </c>
      <c r="H56" s="8">
        <v>0.28999999999999998</v>
      </c>
      <c r="I56" s="12">
        <v>0</v>
      </c>
    </row>
    <row r="57" spans="2:9" ht="15" customHeight="1" x14ac:dyDescent="0.2">
      <c r="B57" t="s">
        <v>136</v>
      </c>
      <c r="C57" s="12">
        <v>233</v>
      </c>
      <c r="D57" s="8">
        <v>2.36</v>
      </c>
      <c r="E57" s="12">
        <v>195</v>
      </c>
      <c r="F57" s="8">
        <v>4.4400000000000004</v>
      </c>
      <c r="G57" s="12">
        <v>38</v>
      </c>
      <c r="H57" s="8">
        <v>0.7</v>
      </c>
      <c r="I57" s="12">
        <v>0</v>
      </c>
    </row>
    <row r="58" spans="2:9" ht="15" customHeight="1" x14ac:dyDescent="0.2">
      <c r="B58" t="s">
        <v>162</v>
      </c>
      <c r="C58" s="12">
        <v>214</v>
      </c>
      <c r="D58" s="8">
        <v>2.17</v>
      </c>
      <c r="E58" s="12">
        <v>202</v>
      </c>
      <c r="F58" s="8">
        <v>4.5999999999999996</v>
      </c>
      <c r="G58" s="12">
        <v>12</v>
      </c>
      <c r="H58" s="8">
        <v>0.22</v>
      </c>
      <c r="I58" s="12">
        <v>0</v>
      </c>
    </row>
    <row r="59" spans="2:9" ht="15" customHeight="1" x14ac:dyDescent="0.2">
      <c r="B59" t="s">
        <v>144</v>
      </c>
      <c r="C59" s="12">
        <v>204</v>
      </c>
      <c r="D59" s="8">
        <v>2.0699999999999998</v>
      </c>
      <c r="E59" s="12">
        <v>50</v>
      </c>
      <c r="F59" s="8">
        <v>1.1399999999999999</v>
      </c>
      <c r="G59" s="12">
        <v>154</v>
      </c>
      <c r="H59" s="8">
        <v>2.83</v>
      </c>
      <c r="I59" s="12">
        <v>0</v>
      </c>
    </row>
    <row r="60" spans="2:9" ht="15" customHeight="1" x14ac:dyDescent="0.2">
      <c r="B60" t="s">
        <v>141</v>
      </c>
      <c r="C60" s="12">
        <v>182</v>
      </c>
      <c r="D60" s="8">
        <v>1.85</v>
      </c>
      <c r="E60" s="12">
        <v>152</v>
      </c>
      <c r="F60" s="8">
        <v>3.46</v>
      </c>
      <c r="G60" s="12">
        <v>29</v>
      </c>
      <c r="H60" s="8">
        <v>0.53</v>
      </c>
      <c r="I60" s="12">
        <v>1</v>
      </c>
    </row>
    <row r="61" spans="2:9" ht="15" customHeight="1" x14ac:dyDescent="0.2">
      <c r="B61" t="s">
        <v>130</v>
      </c>
      <c r="C61" s="12">
        <v>181</v>
      </c>
      <c r="D61" s="8">
        <v>1.84</v>
      </c>
      <c r="E61" s="12">
        <v>19</v>
      </c>
      <c r="F61" s="8">
        <v>0.43</v>
      </c>
      <c r="G61" s="12">
        <v>162</v>
      </c>
      <c r="H61" s="8">
        <v>2.98</v>
      </c>
      <c r="I61" s="12">
        <v>0</v>
      </c>
    </row>
    <row r="62" spans="2:9" ht="15" customHeight="1" x14ac:dyDescent="0.2">
      <c r="B62" t="s">
        <v>140</v>
      </c>
      <c r="C62" s="12">
        <v>165</v>
      </c>
      <c r="D62" s="8">
        <v>1.67</v>
      </c>
      <c r="E62" s="12">
        <v>102</v>
      </c>
      <c r="F62" s="8">
        <v>2.33</v>
      </c>
      <c r="G62" s="12">
        <v>62</v>
      </c>
      <c r="H62" s="8">
        <v>1.1399999999999999</v>
      </c>
      <c r="I62" s="12">
        <v>1</v>
      </c>
    </row>
    <row r="63" spans="2:9" ht="15" customHeight="1" x14ac:dyDescent="0.2">
      <c r="B63" t="s">
        <v>161</v>
      </c>
      <c r="C63" s="12">
        <v>163</v>
      </c>
      <c r="D63" s="8">
        <v>1.65</v>
      </c>
      <c r="E63" s="12">
        <v>59</v>
      </c>
      <c r="F63" s="8">
        <v>1.34</v>
      </c>
      <c r="G63" s="12">
        <v>104</v>
      </c>
      <c r="H63" s="8">
        <v>1.91</v>
      </c>
      <c r="I63" s="12">
        <v>0</v>
      </c>
    </row>
    <row r="64" spans="2:9" ht="15" customHeight="1" x14ac:dyDescent="0.2">
      <c r="B64" t="s">
        <v>160</v>
      </c>
      <c r="C64" s="12">
        <v>155</v>
      </c>
      <c r="D64" s="8">
        <v>1.57</v>
      </c>
      <c r="E64" s="12">
        <v>19</v>
      </c>
      <c r="F64" s="8">
        <v>0.43</v>
      </c>
      <c r="G64" s="12">
        <v>136</v>
      </c>
      <c r="H64" s="8">
        <v>2.5</v>
      </c>
      <c r="I64" s="12">
        <v>0</v>
      </c>
    </row>
    <row r="65" spans="2:9" ht="15" customHeight="1" x14ac:dyDescent="0.2">
      <c r="B65" t="s">
        <v>148</v>
      </c>
      <c r="C65" s="12">
        <v>140</v>
      </c>
      <c r="D65" s="8">
        <v>1.42</v>
      </c>
      <c r="E65" s="12">
        <v>14</v>
      </c>
      <c r="F65" s="8">
        <v>0.32</v>
      </c>
      <c r="G65" s="12">
        <v>121</v>
      </c>
      <c r="H65" s="8">
        <v>2.23</v>
      </c>
      <c r="I65" s="12">
        <v>5</v>
      </c>
    </row>
    <row r="66" spans="2:9" ht="15" customHeight="1" x14ac:dyDescent="0.2">
      <c r="B66" t="s">
        <v>149</v>
      </c>
      <c r="C66" s="12">
        <v>134</v>
      </c>
      <c r="D66" s="8">
        <v>1.36</v>
      </c>
      <c r="E66" s="12">
        <v>9</v>
      </c>
      <c r="F66" s="8">
        <v>0.21</v>
      </c>
      <c r="G66" s="12">
        <v>122</v>
      </c>
      <c r="H66" s="8">
        <v>2.25</v>
      </c>
      <c r="I66" s="12">
        <v>3</v>
      </c>
    </row>
    <row r="67" spans="2:9" ht="15" customHeight="1" x14ac:dyDescent="0.2">
      <c r="B67" t="s">
        <v>143</v>
      </c>
      <c r="C67" s="12">
        <v>131</v>
      </c>
      <c r="D67" s="8">
        <v>1.33</v>
      </c>
      <c r="E67" s="12">
        <v>10</v>
      </c>
      <c r="F67" s="8">
        <v>0.23</v>
      </c>
      <c r="G67" s="12">
        <v>118</v>
      </c>
      <c r="H67" s="8">
        <v>2.17</v>
      </c>
      <c r="I67" s="12">
        <v>3</v>
      </c>
    </row>
    <row r="69" spans="2:9" ht="15" customHeight="1" x14ac:dyDescent="0.2">
      <c r="B69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463AF-5D78-4A60-AB8E-E2070099D22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228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487</v>
      </c>
      <c r="D6" s="8">
        <v>15.87</v>
      </c>
      <c r="E6" s="12">
        <v>83</v>
      </c>
      <c r="F6" s="8">
        <v>7.95</v>
      </c>
      <c r="G6" s="12">
        <v>404</v>
      </c>
      <c r="H6" s="8">
        <v>20.059999999999999</v>
      </c>
      <c r="I6" s="12">
        <v>0</v>
      </c>
    </row>
    <row r="7" spans="2:9" ht="15" customHeight="1" x14ac:dyDescent="0.2">
      <c r="B7" t="s">
        <v>53</v>
      </c>
      <c r="C7" s="12">
        <v>397</v>
      </c>
      <c r="D7" s="8">
        <v>12.94</v>
      </c>
      <c r="E7" s="12">
        <v>89</v>
      </c>
      <c r="F7" s="8">
        <v>8.52</v>
      </c>
      <c r="G7" s="12">
        <v>308</v>
      </c>
      <c r="H7" s="8">
        <v>15.29</v>
      </c>
      <c r="I7" s="12">
        <v>0</v>
      </c>
    </row>
    <row r="8" spans="2:9" ht="15" customHeight="1" x14ac:dyDescent="0.2">
      <c r="B8" t="s">
        <v>54</v>
      </c>
      <c r="C8" s="12">
        <v>13</v>
      </c>
      <c r="D8" s="8">
        <v>0.42</v>
      </c>
      <c r="E8" s="12">
        <v>0</v>
      </c>
      <c r="F8" s="8">
        <v>0</v>
      </c>
      <c r="G8" s="12">
        <v>13</v>
      </c>
      <c r="H8" s="8">
        <v>0.65</v>
      </c>
      <c r="I8" s="12">
        <v>0</v>
      </c>
    </row>
    <row r="9" spans="2:9" ht="15" customHeight="1" x14ac:dyDescent="0.2">
      <c r="B9" t="s">
        <v>55</v>
      </c>
      <c r="C9" s="12">
        <v>26</v>
      </c>
      <c r="D9" s="8">
        <v>0.85</v>
      </c>
      <c r="E9" s="12">
        <v>2</v>
      </c>
      <c r="F9" s="8">
        <v>0.19</v>
      </c>
      <c r="G9" s="12">
        <v>24</v>
      </c>
      <c r="H9" s="8">
        <v>1.19</v>
      </c>
      <c r="I9" s="12">
        <v>0</v>
      </c>
    </row>
    <row r="10" spans="2:9" ht="15" customHeight="1" x14ac:dyDescent="0.2">
      <c r="B10" t="s">
        <v>56</v>
      </c>
      <c r="C10" s="12">
        <v>69</v>
      </c>
      <c r="D10" s="8">
        <v>2.25</v>
      </c>
      <c r="E10" s="12">
        <v>14</v>
      </c>
      <c r="F10" s="8">
        <v>1.34</v>
      </c>
      <c r="G10" s="12">
        <v>55</v>
      </c>
      <c r="H10" s="8">
        <v>2.73</v>
      </c>
      <c r="I10" s="12">
        <v>0</v>
      </c>
    </row>
    <row r="11" spans="2:9" ht="15" customHeight="1" x14ac:dyDescent="0.2">
      <c r="B11" t="s">
        <v>57</v>
      </c>
      <c r="C11" s="12">
        <v>645</v>
      </c>
      <c r="D11" s="8">
        <v>21.02</v>
      </c>
      <c r="E11" s="12">
        <v>215</v>
      </c>
      <c r="F11" s="8">
        <v>20.59</v>
      </c>
      <c r="G11" s="12">
        <v>429</v>
      </c>
      <c r="H11" s="8">
        <v>21.3</v>
      </c>
      <c r="I11" s="12">
        <v>1</v>
      </c>
    </row>
    <row r="12" spans="2:9" ht="15" customHeight="1" x14ac:dyDescent="0.2">
      <c r="B12" t="s">
        <v>58</v>
      </c>
      <c r="C12" s="12">
        <v>31</v>
      </c>
      <c r="D12" s="8">
        <v>1.01</v>
      </c>
      <c r="E12" s="12">
        <v>2</v>
      </c>
      <c r="F12" s="8">
        <v>0.19</v>
      </c>
      <c r="G12" s="12">
        <v>29</v>
      </c>
      <c r="H12" s="8">
        <v>1.44</v>
      </c>
      <c r="I12" s="12">
        <v>0</v>
      </c>
    </row>
    <row r="13" spans="2:9" ht="15" customHeight="1" x14ac:dyDescent="0.2">
      <c r="B13" t="s">
        <v>59</v>
      </c>
      <c r="C13" s="12">
        <v>381</v>
      </c>
      <c r="D13" s="8">
        <v>12.41</v>
      </c>
      <c r="E13" s="12">
        <v>84</v>
      </c>
      <c r="F13" s="8">
        <v>8.0500000000000007</v>
      </c>
      <c r="G13" s="12">
        <v>297</v>
      </c>
      <c r="H13" s="8">
        <v>14.75</v>
      </c>
      <c r="I13" s="12">
        <v>0</v>
      </c>
    </row>
    <row r="14" spans="2:9" ht="15" customHeight="1" x14ac:dyDescent="0.2">
      <c r="B14" t="s">
        <v>60</v>
      </c>
      <c r="C14" s="12">
        <v>151</v>
      </c>
      <c r="D14" s="8">
        <v>4.92</v>
      </c>
      <c r="E14" s="12">
        <v>51</v>
      </c>
      <c r="F14" s="8">
        <v>4.8899999999999997</v>
      </c>
      <c r="G14" s="12">
        <v>99</v>
      </c>
      <c r="H14" s="8">
        <v>4.92</v>
      </c>
      <c r="I14" s="12">
        <v>0</v>
      </c>
    </row>
    <row r="15" spans="2:9" ht="15" customHeight="1" x14ac:dyDescent="0.2">
      <c r="B15" t="s">
        <v>61</v>
      </c>
      <c r="C15" s="12">
        <v>163</v>
      </c>
      <c r="D15" s="8">
        <v>5.31</v>
      </c>
      <c r="E15" s="12">
        <v>109</v>
      </c>
      <c r="F15" s="8">
        <v>10.44</v>
      </c>
      <c r="G15" s="12">
        <v>54</v>
      </c>
      <c r="H15" s="8">
        <v>2.68</v>
      </c>
      <c r="I15" s="12">
        <v>0</v>
      </c>
    </row>
    <row r="16" spans="2:9" ht="15" customHeight="1" x14ac:dyDescent="0.2">
      <c r="B16" t="s">
        <v>62</v>
      </c>
      <c r="C16" s="12">
        <v>256</v>
      </c>
      <c r="D16" s="8">
        <v>8.34</v>
      </c>
      <c r="E16" s="12">
        <v>173</v>
      </c>
      <c r="F16" s="8">
        <v>16.57</v>
      </c>
      <c r="G16" s="12">
        <v>82</v>
      </c>
      <c r="H16" s="8">
        <v>4.07</v>
      </c>
      <c r="I16" s="12">
        <v>0</v>
      </c>
    </row>
    <row r="17" spans="2:9" ht="15" customHeight="1" x14ac:dyDescent="0.2">
      <c r="B17" t="s">
        <v>63</v>
      </c>
      <c r="C17" s="12">
        <v>125</v>
      </c>
      <c r="D17" s="8">
        <v>4.07</v>
      </c>
      <c r="E17" s="12">
        <v>84</v>
      </c>
      <c r="F17" s="8">
        <v>8.0500000000000007</v>
      </c>
      <c r="G17" s="12">
        <v>41</v>
      </c>
      <c r="H17" s="8">
        <v>2.04</v>
      </c>
      <c r="I17" s="12">
        <v>0</v>
      </c>
    </row>
    <row r="18" spans="2:9" ht="15" customHeight="1" x14ac:dyDescent="0.2">
      <c r="B18" t="s">
        <v>64</v>
      </c>
      <c r="C18" s="12">
        <v>152</v>
      </c>
      <c r="D18" s="8">
        <v>4.95</v>
      </c>
      <c r="E18" s="12">
        <v>70</v>
      </c>
      <c r="F18" s="8">
        <v>6.7</v>
      </c>
      <c r="G18" s="12">
        <v>81</v>
      </c>
      <c r="H18" s="8">
        <v>4.0199999999999996</v>
      </c>
      <c r="I18" s="12">
        <v>0</v>
      </c>
    </row>
    <row r="19" spans="2:9" ht="15" customHeight="1" x14ac:dyDescent="0.2">
      <c r="B19" t="s">
        <v>65</v>
      </c>
      <c r="C19" s="12">
        <v>173</v>
      </c>
      <c r="D19" s="8">
        <v>5.64</v>
      </c>
      <c r="E19" s="12">
        <v>68</v>
      </c>
      <c r="F19" s="8">
        <v>6.51</v>
      </c>
      <c r="G19" s="12">
        <v>98</v>
      </c>
      <c r="H19" s="8">
        <v>4.87</v>
      </c>
      <c r="I19" s="12">
        <v>1</v>
      </c>
    </row>
    <row r="20" spans="2:9" ht="15" customHeight="1" x14ac:dyDescent="0.2">
      <c r="B20" s="9" t="s">
        <v>215</v>
      </c>
      <c r="C20" s="12">
        <f>SUM(LTBL_28111[総数／事業所数])</f>
        <v>3069</v>
      </c>
      <c r="E20" s="12">
        <f>SUBTOTAL(109,LTBL_28111[個人／事業所数])</f>
        <v>1044</v>
      </c>
      <c r="G20" s="12">
        <f>SUBTOTAL(109,LTBL_28111[法人／事業所数])</f>
        <v>2014</v>
      </c>
      <c r="I20" s="12">
        <f>SUBTOTAL(109,LTBL_28111[法人以外の団体／事業所数])</f>
        <v>2</v>
      </c>
    </row>
    <row r="21" spans="2:9" ht="15" customHeight="1" x14ac:dyDescent="0.2">
      <c r="E21" s="11">
        <f>LTBL_28111[[#Totals],[個人／事業所数]]/LTBL_28111[[#Totals],[総数／事業所数]]</f>
        <v>0.34017595307917886</v>
      </c>
      <c r="G21" s="11">
        <f>LTBL_28111[[#Totals],[法人／事業所数]]/LTBL_28111[[#Totals],[総数／事業所数]]</f>
        <v>0.65623981753014016</v>
      </c>
      <c r="I21" s="11">
        <f>LTBL_28111[[#Totals],[法人以外の団体／事業所数]]/LTBL_28111[[#Totals],[総数／事業所数]]</f>
        <v>6.5167807103290974E-4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85</v>
      </c>
      <c r="C24" s="12">
        <v>319</v>
      </c>
      <c r="D24" s="8">
        <v>10.39</v>
      </c>
      <c r="E24" s="12">
        <v>79</v>
      </c>
      <c r="F24" s="8">
        <v>7.57</v>
      </c>
      <c r="G24" s="12">
        <v>240</v>
      </c>
      <c r="H24" s="8">
        <v>11.92</v>
      </c>
      <c r="I24" s="12">
        <v>0</v>
      </c>
    </row>
    <row r="25" spans="2:9" ht="15" customHeight="1" x14ac:dyDescent="0.2">
      <c r="B25" t="s">
        <v>74</v>
      </c>
      <c r="C25" s="12">
        <v>218</v>
      </c>
      <c r="D25" s="8">
        <v>7.1</v>
      </c>
      <c r="E25" s="12">
        <v>33</v>
      </c>
      <c r="F25" s="8">
        <v>3.16</v>
      </c>
      <c r="G25" s="12">
        <v>185</v>
      </c>
      <c r="H25" s="8">
        <v>9.19</v>
      </c>
      <c r="I25" s="12">
        <v>0</v>
      </c>
    </row>
    <row r="26" spans="2:9" ht="15" customHeight="1" x14ac:dyDescent="0.2">
      <c r="B26" t="s">
        <v>89</v>
      </c>
      <c r="C26" s="12">
        <v>197</v>
      </c>
      <c r="D26" s="8">
        <v>6.42</v>
      </c>
      <c r="E26" s="12">
        <v>153</v>
      </c>
      <c r="F26" s="8">
        <v>14.66</v>
      </c>
      <c r="G26" s="12">
        <v>44</v>
      </c>
      <c r="H26" s="8">
        <v>2.1800000000000002</v>
      </c>
      <c r="I26" s="12">
        <v>0</v>
      </c>
    </row>
    <row r="27" spans="2:9" ht="15" customHeight="1" x14ac:dyDescent="0.2">
      <c r="B27" t="s">
        <v>75</v>
      </c>
      <c r="C27" s="12">
        <v>139</v>
      </c>
      <c r="D27" s="8">
        <v>4.53</v>
      </c>
      <c r="E27" s="12">
        <v>29</v>
      </c>
      <c r="F27" s="8">
        <v>2.78</v>
      </c>
      <c r="G27" s="12">
        <v>110</v>
      </c>
      <c r="H27" s="8">
        <v>5.46</v>
      </c>
      <c r="I27" s="12">
        <v>0</v>
      </c>
    </row>
    <row r="28" spans="2:9" ht="15" customHeight="1" x14ac:dyDescent="0.2">
      <c r="B28" t="s">
        <v>83</v>
      </c>
      <c r="C28" s="12">
        <v>133</v>
      </c>
      <c r="D28" s="8">
        <v>4.33</v>
      </c>
      <c r="E28" s="12">
        <v>55</v>
      </c>
      <c r="F28" s="8">
        <v>5.27</v>
      </c>
      <c r="G28" s="12">
        <v>78</v>
      </c>
      <c r="H28" s="8">
        <v>3.87</v>
      </c>
      <c r="I28" s="12">
        <v>0</v>
      </c>
    </row>
    <row r="29" spans="2:9" ht="15" customHeight="1" x14ac:dyDescent="0.2">
      <c r="B29" t="s">
        <v>76</v>
      </c>
      <c r="C29" s="12">
        <v>130</v>
      </c>
      <c r="D29" s="8">
        <v>4.24</v>
      </c>
      <c r="E29" s="12">
        <v>21</v>
      </c>
      <c r="F29" s="8">
        <v>2.0099999999999998</v>
      </c>
      <c r="G29" s="12">
        <v>109</v>
      </c>
      <c r="H29" s="8">
        <v>5.41</v>
      </c>
      <c r="I29" s="12">
        <v>0</v>
      </c>
    </row>
    <row r="30" spans="2:9" ht="15" customHeight="1" x14ac:dyDescent="0.2">
      <c r="B30" t="s">
        <v>88</v>
      </c>
      <c r="C30" s="12">
        <v>129</v>
      </c>
      <c r="D30" s="8">
        <v>4.2</v>
      </c>
      <c r="E30" s="12">
        <v>104</v>
      </c>
      <c r="F30" s="8">
        <v>9.9600000000000009</v>
      </c>
      <c r="G30" s="12">
        <v>25</v>
      </c>
      <c r="H30" s="8">
        <v>1.24</v>
      </c>
      <c r="I30" s="12">
        <v>0</v>
      </c>
    </row>
    <row r="31" spans="2:9" ht="15" customHeight="1" x14ac:dyDescent="0.2">
      <c r="B31" t="s">
        <v>91</v>
      </c>
      <c r="C31" s="12">
        <v>125</v>
      </c>
      <c r="D31" s="8">
        <v>4.07</v>
      </c>
      <c r="E31" s="12">
        <v>84</v>
      </c>
      <c r="F31" s="8">
        <v>8.0500000000000007</v>
      </c>
      <c r="G31" s="12">
        <v>41</v>
      </c>
      <c r="H31" s="8">
        <v>2.04</v>
      </c>
      <c r="I31" s="12">
        <v>0</v>
      </c>
    </row>
    <row r="32" spans="2:9" ht="15" customHeight="1" x14ac:dyDescent="0.2">
      <c r="B32" t="s">
        <v>82</v>
      </c>
      <c r="C32" s="12">
        <v>116</v>
      </c>
      <c r="D32" s="8">
        <v>3.78</v>
      </c>
      <c r="E32" s="12">
        <v>63</v>
      </c>
      <c r="F32" s="8">
        <v>6.03</v>
      </c>
      <c r="G32" s="12">
        <v>53</v>
      </c>
      <c r="H32" s="8">
        <v>2.63</v>
      </c>
      <c r="I32" s="12">
        <v>0</v>
      </c>
    </row>
    <row r="33" spans="2:9" ht="15" customHeight="1" x14ac:dyDescent="0.2">
      <c r="B33" t="s">
        <v>92</v>
      </c>
      <c r="C33" s="12">
        <v>88</v>
      </c>
      <c r="D33" s="8">
        <v>2.87</v>
      </c>
      <c r="E33" s="12">
        <v>68</v>
      </c>
      <c r="F33" s="8">
        <v>6.51</v>
      </c>
      <c r="G33" s="12">
        <v>20</v>
      </c>
      <c r="H33" s="8">
        <v>0.99</v>
      </c>
      <c r="I33" s="12">
        <v>0</v>
      </c>
    </row>
    <row r="34" spans="2:9" ht="15" customHeight="1" x14ac:dyDescent="0.2">
      <c r="B34" t="s">
        <v>81</v>
      </c>
      <c r="C34" s="12">
        <v>85</v>
      </c>
      <c r="D34" s="8">
        <v>2.77</v>
      </c>
      <c r="E34" s="12">
        <v>49</v>
      </c>
      <c r="F34" s="8">
        <v>4.6900000000000004</v>
      </c>
      <c r="G34" s="12">
        <v>35</v>
      </c>
      <c r="H34" s="8">
        <v>1.74</v>
      </c>
      <c r="I34" s="12">
        <v>1</v>
      </c>
    </row>
    <row r="35" spans="2:9" ht="15" customHeight="1" x14ac:dyDescent="0.2">
      <c r="B35" t="s">
        <v>77</v>
      </c>
      <c r="C35" s="12">
        <v>78</v>
      </c>
      <c r="D35" s="8">
        <v>2.54</v>
      </c>
      <c r="E35" s="12">
        <v>24</v>
      </c>
      <c r="F35" s="8">
        <v>2.2999999999999998</v>
      </c>
      <c r="G35" s="12">
        <v>54</v>
      </c>
      <c r="H35" s="8">
        <v>2.68</v>
      </c>
      <c r="I35" s="12">
        <v>0</v>
      </c>
    </row>
    <row r="36" spans="2:9" ht="15" customHeight="1" x14ac:dyDescent="0.2">
      <c r="B36" t="s">
        <v>104</v>
      </c>
      <c r="C36" s="12">
        <v>77</v>
      </c>
      <c r="D36" s="8">
        <v>2.5099999999999998</v>
      </c>
      <c r="E36" s="12">
        <v>50</v>
      </c>
      <c r="F36" s="8">
        <v>4.79</v>
      </c>
      <c r="G36" s="12">
        <v>27</v>
      </c>
      <c r="H36" s="8">
        <v>1.34</v>
      </c>
      <c r="I36" s="12">
        <v>0</v>
      </c>
    </row>
    <row r="37" spans="2:9" ht="15" customHeight="1" x14ac:dyDescent="0.2">
      <c r="B37" t="s">
        <v>87</v>
      </c>
      <c r="C37" s="12">
        <v>75</v>
      </c>
      <c r="D37" s="8">
        <v>2.44</v>
      </c>
      <c r="E37" s="12">
        <v>23</v>
      </c>
      <c r="F37" s="8">
        <v>2.2000000000000002</v>
      </c>
      <c r="G37" s="12">
        <v>51</v>
      </c>
      <c r="H37" s="8">
        <v>2.5299999999999998</v>
      </c>
      <c r="I37" s="12">
        <v>0</v>
      </c>
    </row>
    <row r="38" spans="2:9" ht="15" customHeight="1" x14ac:dyDescent="0.2">
      <c r="B38" t="s">
        <v>97</v>
      </c>
      <c r="C38" s="12">
        <v>74</v>
      </c>
      <c r="D38" s="8">
        <v>2.41</v>
      </c>
      <c r="E38" s="12">
        <v>9</v>
      </c>
      <c r="F38" s="8">
        <v>0.86</v>
      </c>
      <c r="G38" s="12">
        <v>65</v>
      </c>
      <c r="H38" s="8">
        <v>3.23</v>
      </c>
      <c r="I38" s="12">
        <v>0</v>
      </c>
    </row>
    <row r="39" spans="2:9" ht="15" customHeight="1" x14ac:dyDescent="0.2">
      <c r="B39" t="s">
        <v>78</v>
      </c>
      <c r="C39" s="12">
        <v>72</v>
      </c>
      <c r="D39" s="8">
        <v>2.35</v>
      </c>
      <c r="E39" s="12">
        <v>9</v>
      </c>
      <c r="F39" s="8">
        <v>0.86</v>
      </c>
      <c r="G39" s="12">
        <v>63</v>
      </c>
      <c r="H39" s="8">
        <v>3.13</v>
      </c>
      <c r="I39" s="12">
        <v>0</v>
      </c>
    </row>
    <row r="40" spans="2:9" ht="15" customHeight="1" x14ac:dyDescent="0.2">
      <c r="B40" t="s">
        <v>86</v>
      </c>
      <c r="C40" s="12">
        <v>70</v>
      </c>
      <c r="D40" s="8">
        <v>2.2799999999999998</v>
      </c>
      <c r="E40" s="12">
        <v>28</v>
      </c>
      <c r="F40" s="8">
        <v>2.68</v>
      </c>
      <c r="G40" s="12">
        <v>42</v>
      </c>
      <c r="H40" s="8">
        <v>2.09</v>
      </c>
      <c r="I40" s="12">
        <v>0</v>
      </c>
    </row>
    <row r="41" spans="2:9" ht="15" customHeight="1" x14ac:dyDescent="0.2">
      <c r="B41" t="s">
        <v>93</v>
      </c>
      <c r="C41" s="12">
        <v>64</v>
      </c>
      <c r="D41" s="8">
        <v>2.09</v>
      </c>
      <c r="E41" s="12">
        <v>2</v>
      </c>
      <c r="F41" s="8">
        <v>0.19</v>
      </c>
      <c r="G41" s="12">
        <v>61</v>
      </c>
      <c r="H41" s="8">
        <v>3.03</v>
      </c>
      <c r="I41" s="12">
        <v>0</v>
      </c>
    </row>
    <row r="42" spans="2:9" ht="15" customHeight="1" x14ac:dyDescent="0.2">
      <c r="B42" t="s">
        <v>100</v>
      </c>
      <c r="C42" s="12">
        <v>58</v>
      </c>
      <c r="D42" s="8">
        <v>1.89</v>
      </c>
      <c r="E42" s="12">
        <v>14</v>
      </c>
      <c r="F42" s="8">
        <v>1.34</v>
      </c>
      <c r="G42" s="12">
        <v>44</v>
      </c>
      <c r="H42" s="8">
        <v>2.1800000000000002</v>
      </c>
      <c r="I42" s="12">
        <v>0</v>
      </c>
    </row>
    <row r="43" spans="2:9" ht="15" customHeight="1" x14ac:dyDescent="0.2">
      <c r="B43" t="s">
        <v>90</v>
      </c>
      <c r="C43" s="12">
        <v>47</v>
      </c>
      <c r="D43" s="8">
        <v>1.53</v>
      </c>
      <c r="E43" s="12">
        <v>18</v>
      </c>
      <c r="F43" s="8">
        <v>1.72</v>
      </c>
      <c r="G43" s="12">
        <v>28</v>
      </c>
      <c r="H43" s="8">
        <v>1.39</v>
      </c>
      <c r="I43" s="12">
        <v>0</v>
      </c>
    </row>
    <row r="44" spans="2:9" ht="15" customHeight="1" x14ac:dyDescent="0.2">
      <c r="B44" t="s">
        <v>94</v>
      </c>
      <c r="C44" s="12">
        <v>47</v>
      </c>
      <c r="D44" s="8">
        <v>1.53</v>
      </c>
      <c r="E44" s="12">
        <v>5</v>
      </c>
      <c r="F44" s="8">
        <v>0.48</v>
      </c>
      <c r="G44" s="12">
        <v>41</v>
      </c>
      <c r="H44" s="8">
        <v>2.04</v>
      </c>
      <c r="I44" s="12">
        <v>1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132</v>
      </c>
      <c r="C48" s="12">
        <v>162</v>
      </c>
      <c r="D48" s="8">
        <v>5.28</v>
      </c>
      <c r="E48" s="12">
        <v>53</v>
      </c>
      <c r="F48" s="8">
        <v>5.08</v>
      </c>
      <c r="G48" s="12">
        <v>109</v>
      </c>
      <c r="H48" s="8">
        <v>5.41</v>
      </c>
      <c r="I48" s="12">
        <v>0</v>
      </c>
    </row>
    <row r="49" spans="2:9" ht="15" customHeight="1" x14ac:dyDescent="0.2">
      <c r="B49" t="s">
        <v>138</v>
      </c>
      <c r="C49" s="12">
        <v>93</v>
      </c>
      <c r="D49" s="8">
        <v>3.03</v>
      </c>
      <c r="E49" s="12">
        <v>83</v>
      </c>
      <c r="F49" s="8">
        <v>7.95</v>
      </c>
      <c r="G49" s="12">
        <v>10</v>
      </c>
      <c r="H49" s="8">
        <v>0.5</v>
      </c>
      <c r="I49" s="12">
        <v>0</v>
      </c>
    </row>
    <row r="50" spans="2:9" ht="15" customHeight="1" x14ac:dyDescent="0.2">
      <c r="B50" t="s">
        <v>127</v>
      </c>
      <c r="C50" s="12">
        <v>84</v>
      </c>
      <c r="D50" s="8">
        <v>2.74</v>
      </c>
      <c r="E50" s="12">
        <v>46</v>
      </c>
      <c r="F50" s="8">
        <v>4.41</v>
      </c>
      <c r="G50" s="12">
        <v>38</v>
      </c>
      <c r="H50" s="8">
        <v>1.89</v>
      </c>
      <c r="I50" s="12">
        <v>0</v>
      </c>
    </row>
    <row r="51" spans="2:9" ht="15" customHeight="1" x14ac:dyDescent="0.2">
      <c r="B51" t="s">
        <v>131</v>
      </c>
      <c r="C51" s="12">
        <v>79</v>
      </c>
      <c r="D51" s="8">
        <v>2.57</v>
      </c>
      <c r="E51" s="12">
        <v>10</v>
      </c>
      <c r="F51" s="8">
        <v>0.96</v>
      </c>
      <c r="G51" s="12">
        <v>69</v>
      </c>
      <c r="H51" s="8">
        <v>3.43</v>
      </c>
      <c r="I51" s="12">
        <v>0</v>
      </c>
    </row>
    <row r="52" spans="2:9" ht="15" customHeight="1" x14ac:dyDescent="0.2">
      <c r="B52" t="s">
        <v>165</v>
      </c>
      <c r="C52" s="12">
        <v>77</v>
      </c>
      <c r="D52" s="8">
        <v>2.5099999999999998</v>
      </c>
      <c r="E52" s="12">
        <v>50</v>
      </c>
      <c r="F52" s="8">
        <v>4.79</v>
      </c>
      <c r="G52" s="12">
        <v>27</v>
      </c>
      <c r="H52" s="8">
        <v>1.34</v>
      </c>
      <c r="I52" s="12">
        <v>0</v>
      </c>
    </row>
    <row r="53" spans="2:9" ht="15" customHeight="1" x14ac:dyDescent="0.2">
      <c r="B53" t="s">
        <v>140</v>
      </c>
      <c r="C53" s="12">
        <v>74</v>
      </c>
      <c r="D53" s="8">
        <v>2.41</v>
      </c>
      <c r="E53" s="12">
        <v>55</v>
      </c>
      <c r="F53" s="8">
        <v>5.27</v>
      </c>
      <c r="G53" s="12">
        <v>19</v>
      </c>
      <c r="H53" s="8">
        <v>0.94</v>
      </c>
      <c r="I53" s="12">
        <v>0</v>
      </c>
    </row>
    <row r="54" spans="2:9" ht="15" customHeight="1" x14ac:dyDescent="0.2">
      <c r="B54" t="s">
        <v>122</v>
      </c>
      <c r="C54" s="12">
        <v>72</v>
      </c>
      <c r="D54" s="8">
        <v>2.35</v>
      </c>
      <c r="E54" s="12">
        <v>10</v>
      </c>
      <c r="F54" s="8">
        <v>0.96</v>
      </c>
      <c r="G54" s="12">
        <v>62</v>
      </c>
      <c r="H54" s="8">
        <v>3.08</v>
      </c>
      <c r="I54" s="12">
        <v>0</v>
      </c>
    </row>
    <row r="55" spans="2:9" ht="15" customHeight="1" x14ac:dyDescent="0.2">
      <c r="B55" t="s">
        <v>123</v>
      </c>
      <c r="C55" s="12">
        <v>64</v>
      </c>
      <c r="D55" s="8">
        <v>2.09</v>
      </c>
      <c r="E55" s="12">
        <v>5</v>
      </c>
      <c r="F55" s="8">
        <v>0.48</v>
      </c>
      <c r="G55" s="12">
        <v>59</v>
      </c>
      <c r="H55" s="8">
        <v>2.93</v>
      </c>
      <c r="I55" s="12">
        <v>0</v>
      </c>
    </row>
    <row r="56" spans="2:9" ht="15" customHeight="1" x14ac:dyDescent="0.2">
      <c r="B56" t="s">
        <v>137</v>
      </c>
      <c r="C56" s="12">
        <v>63</v>
      </c>
      <c r="D56" s="8">
        <v>2.0499999999999998</v>
      </c>
      <c r="E56" s="12">
        <v>54</v>
      </c>
      <c r="F56" s="8">
        <v>5.17</v>
      </c>
      <c r="G56" s="12">
        <v>9</v>
      </c>
      <c r="H56" s="8">
        <v>0.45</v>
      </c>
      <c r="I56" s="12">
        <v>0</v>
      </c>
    </row>
    <row r="57" spans="2:9" ht="15" customHeight="1" x14ac:dyDescent="0.2">
      <c r="B57" t="s">
        <v>159</v>
      </c>
      <c r="C57" s="12">
        <v>56</v>
      </c>
      <c r="D57" s="8">
        <v>1.82</v>
      </c>
      <c r="E57" s="12">
        <v>12</v>
      </c>
      <c r="F57" s="8">
        <v>1.1499999999999999</v>
      </c>
      <c r="G57" s="12">
        <v>44</v>
      </c>
      <c r="H57" s="8">
        <v>2.1800000000000002</v>
      </c>
      <c r="I57" s="12">
        <v>0</v>
      </c>
    </row>
    <row r="58" spans="2:9" ht="15" customHeight="1" x14ac:dyDescent="0.2">
      <c r="B58" t="s">
        <v>143</v>
      </c>
      <c r="C58" s="12">
        <v>55</v>
      </c>
      <c r="D58" s="8">
        <v>1.79</v>
      </c>
      <c r="E58" s="12">
        <v>3</v>
      </c>
      <c r="F58" s="8">
        <v>0.28999999999999998</v>
      </c>
      <c r="G58" s="12">
        <v>52</v>
      </c>
      <c r="H58" s="8">
        <v>2.58</v>
      </c>
      <c r="I58" s="12">
        <v>0</v>
      </c>
    </row>
    <row r="59" spans="2:9" ht="15" customHeight="1" x14ac:dyDescent="0.2">
      <c r="B59" t="s">
        <v>141</v>
      </c>
      <c r="C59" s="12">
        <v>55</v>
      </c>
      <c r="D59" s="8">
        <v>1.79</v>
      </c>
      <c r="E59" s="12">
        <v>47</v>
      </c>
      <c r="F59" s="8">
        <v>4.5</v>
      </c>
      <c r="G59" s="12">
        <v>8</v>
      </c>
      <c r="H59" s="8">
        <v>0.4</v>
      </c>
      <c r="I59" s="12">
        <v>0</v>
      </c>
    </row>
    <row r="60" spans="2:9" ht="15" customHeight="1" x14ac:dyDescent="0.2">
      <c r="B60" t="s">
        <v>150</v>
      </c>
      <c r="C60" s="12">
        <v>52</v>
      </c>
      <c r="D60" s="8">
        <v>1.69</v>
      </c>
      <c r="E60" s="12">
        <v>8</v>
      </c>
      <c r="F60" s="8">
        <v>0.77</v>
      </c>
      <c r="G60" s="12">
        <v>44</v>
      </c>
      <c r="H60" s="8">
        <v>2.1800000000000002</v>
      </c>
      <c r="I60" s="12">
        <v>0</v>
      </c>
    </row>
    <row r="61" spans="2:9" ht="15" customHeight="1" x14ac:dyDescent="0.2">
      <c r="B61" t="s">
        <v>124</v>
      </c>
      <c r="C61" s="12">
        <v>49</v>
      </c>
      <c r="D61" s="8">
        <v>1.6</v>
      </c>
      <c r="E61" s="12">
        <v>9</v>
      </c>
      <c r="F61" s="8">
        <v>0.86</v>
      </c>
      <c r="G61" s="12">
        <v>40</v>
      </c>
      <c r="H61" s="8">
        <v>1.99</v>
      </c>
      <c r="I61" s="12">
        <v>0</v>
      </c>
    </row>
    <row r="62" spans="2:9" ht="15" customHeight="1" x14ac:dyDescent="0.2">
      <c r="B62" t="s">
        <v>129</v>
      </c>
      <c r="C62" s="12">
        <v>48</v>
      </c>
      <c r="D62" s="8">
        <v>1.56</v>
      </c>
      <c r="E62" s="12">
        <v>29</v>
      </c>
      <c r="F62" s="8">
        <v>2.78</v>
      </c>
      <c r="G62" s="12">
        <v>19</v>
      </c>
      <c r="H62" s="8">
        <v>0.94</v>
      </c>
      <c r="I62" s="12">
        <v>0</v>
      </c>
    </row>
    <row r="63" spans="2:9" ht="15" customHeight="1" x14ac:dyDescent="0.2">
      <c r="B63" t="s">
        <v>139</v>
      </c>
      <c r="C63" s="12">
        <v>46</v>
      </c>
      <c r="D63" s="8">
        <v>1.5</v>
      </c>
      <c r="E63" s="12">
        <v>28</v>
      </c>
      <c r="F63" s="8">
        <v>2.68</v>
      </c>
      <c r="G63" s="12">
        <v>18</v>
      </c>
      <c r="H63" s="8">
        <v>0.89</v>
      </c>
      <c r="I63" s="12">
        <v>0</v>
      </c>
    </row>
    <row r="64" spans="2:9" ht="15" customHeight="1" x14ac:dyDescent="0.2">
      <c r="B64" t="s">
        <v>164</v>
      </c>
      <c r="C64" s="12">
        <v>45</v>
      </c>
      <c r="D64" s="8">
        <v>1.47</v>
      </c>
      <c r="E64" s="12">
        <v>15</v>
      </c>
      <c r="F64" s="8">
        <v>1.44</v>
      </c>
      <c r="G64" s="12">
        <v>30</v>
      </c>
      <c r="H64" s="8">
        <v>1.49</v>
      </c>
      <c r="I64" s="12">
        <v>0</v>
      </c>
    </row>
    <row r="65" spans="2:9" ht="15" customHeight="1" x14ac:dyDescent="0.2">
      <c r="B65" t="s">
        <v>136</v>
      </c>
      <c r="C65" s="12">
        <v>44</v>
      </c>
      <c r="D65" s="8">
        <v>1.43</v>
      </c>
      <c r="E65" s="12">
        <v>40</v>
      </c>
      <c r="F65" s="8">
        <v>3.83</v>
      </c>
      <c r="G65" s="12">
        <v>4</v>
      </c>
      <c r="H65" s="8">
        <v>0.2</v>
      </c>
      <c r="I65" s="12">
        <v>0</v>
      </c>
    </row>
    <row r="66" spans="2:9" ht="15" customHeight="1" x14ac:dyDescent="0.2">
      <c r="B66" t="s">
        <v>133</v>
      </c>
      <c r="C66" s="12">
        <v>41</v>
      </c>
      <c r="D66" s="8">
        <v>1.34</v>
      </c>
      <c r="E66" s="12">
        <v>29</v>
      </c>
      <c r="F66" s="8">
        <v>2.78</v>
      </c>
      <c r="G66" s="12">
        <v>12</v>
      </c>
      <c r="H66" s="8">
        <v>0.6</v>
      </c>
      <c r="I66" s="12">
        <v>0</v>
      </c>
    </row>
    <row r="67" spans="2:9" ht="15" customHeight="1" x14ac:dyDescent="0.2">
      <c r="B67" t="s">
        <v>144</v>
      </c>
      <c r="C67" s="12">
        <v>36</v>
      </c>
      <c r="D67" s="8">
        <v>1.17</v>
      </c>
      <c r="E67" s="12">
        <v>10</v>
      </c>
      <c r="F67" s="8">
        <v>0.96</v>
      </c>
      <c r="G67" s="12">
        <v>25</v>
      </c>
      <c r="H67" s="8">
        <v>1.24</v>
      </c>
      <c r="I67" s="12">
        <v>0</v>
      </c>
    </row>
    <row r="69" spans="2:9" ht="15" customHeight="1" x14ac:dyDescent="0.2">
      <c r="B69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5240-77B8-4952-AD2B-689422DE32C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229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2</v>
      </c>
      <c r="D5" s="8">
        <v>0.02</v>
      </c>
      <c r="E5" s="12">
        <v>0</v>
      </c>
      <c r="F5" s="8">
        <v>0</v>
      </c>
      <c r="G5" s="12">
        <v>2</v>
      </c>
      <c r="H5" s="8">
        <v>0.03</v>
      </c>
      <c r="I5" s="12">
        <v>0</v>
      </c>
    </row>
    <row r="6" spans="2:9" ht="15" customHeight="1" x14ac:dyDescent="0.2">
      <c r="B6" t="s">
        <v>52</v>
      </c>
      <c r="C6" s="12">
        <v>1659</v>
      </c>
      <c r="D6" s="8">
        <v>13.2</v>
      </c>
      <c r="E6" s="12">
        <v>430</v>
      </c>
      <c r="F6" s="8">
        <v>6.49</v>
      </c>
      <c r="G6" s="12">
        <v>1229</v>
      </c>
      <c r="H6" s="8">
        <v>21.13</v>
      </c>
      <c r="I6" s="12">
        <v>0</v>
      </c>
    </row>
    <row r="7" spans="2:9" ht="15" customHeight="1" x14ac:dyDescent="0.2">
      <c r="B7" t="s">
        <v>53</v>
      </c>
      <c r="C7" s="12">
        <v>1097</v>
      </c>
      <c r="D7" s="8">
        <v>8.73</v>
      </c>
      <c r="E7" s="12">
        <v>462</v>
      </c>
      <c r="F7" s="8">
        <v>6.97</v>
      </c>
      <c r="G7" s="12">
        <v>634</v>
      </c>
      <c r="H7" s="8">
        <v>10.9</v>
      </c>
      <c r="I7" s="12">
        <v>1</v>
      </c>
    </row>
    <row r="8" spans="2:9" ht="15" customHeight="1" x14ac:dyDescent="0.2">
      <c r="B8" t="s">
        <v>54</v>
      </c>
      <c r="C8" s="12">
        <v>12</v>
      </c>
      <c r="D8" s="8">
        <v>0.1</v>
      </c>
      <c r="E8" s="12">
        <v>1</v>
      </c>
      <c r="F8" s="8">
        <v>0.02</v>
      </c>
      <c r="G8" s="12">
        <v>10</v>
      </c>
      <c r="H8" s="8">
        <v>0.17</v>
      </c>
      <c r="I8" s="12">
        <v>0</v>
      </c>
    </row>
    <row r="9" spans="2:9" ht="15" customHeight="1" x14ac:dyDescent="0.2">
      <c r="B9" t="s">
        <v>55</v>
      </c>
      <c r="C9" s="12">
        <v>82</v>
      </c>
      <c r="D9" s="8">
        <v>0.65</v>
      </c>
      <c r="E9" s="12">
        <v>5</v>
      </c>
      <c r="F9" s="8">
        <v>0.08</v>
      </c>
      <c r="G9" s="12">
        <v>77</v>
      </c>
      <c r="H9" s="8">
        <v>1.32</v>
      </c>
      <c r="I9" s="12">
        <v>0</v>
      </c>
    </row>
    <row r="10" spans="2:9" ht="15" customHeight="1" x14ac:dyDescent="0.2">
      <c r="B10" t="s">
        <v>56</v>
      </c>
      <c r="C10" s="12">
        <v>125</v>
      </c>
      <c r="D10" s="8">
        <v>0.99</v>
      </c>
      <c r="E10" s="12">
        <v>22</v>
      </c>
      <c r="F10" s="8">
        <v>0.33</v>
      </c>
      <c r="G10" s="12">
        <v>102</v>
      </c>
      <c r="H10" s="8">
        <v>1.75</v>
      </c>
      <c r="I10" s="12">
        <v>1</v>
      </c>
    </row>
    <row r="11" spans="2:9" ht="15" customHeight="1" x14ac:dyDescent="0.2">
      <c r="B11" t="s">
        <v>57</v>
      </c>
      <c r="C11" s="12">
        <v>2922</v>
      </c>
      <c r="D11" s="8">
        <v>23.24</v>
      </c>
      <c r="E11" s="12">
        <v>1452</v>
      </c>
      <c r="F11" s="8">
        <v>21.9</v>
      </c>
      <c r="G11" s="12">
        <v>1468</v>
      </c>
      <c r="H11" s="8">
        <v>25.24</v>
      </c>
      <c r="I11" s="12">
        <v>2</v>
      </c>
    </row>
    <row r="12" spans="2:9" ht="15" customHeight="1" x14ac:dyDescent="0.2">
      <c r="B12" t="s">
        <v>58</v>
      </c>
      <c r="C12" s="12">
        <v>123</v>
      </c>
      <c r="D12" s="8">
        <v>0.98</v>
      </c>
      <c r="E12" s="12">
        <v>27</v>
      </c>
      <c r="F12" s="8">
        <v>0.41</v>
      </c>
      <c r="G12" s="12">
        <v>95</v>
      </c>
      <c r="H12" s="8">
        <v>1.63</v>
      </c>
      <c r="I12" s="12">
        <v>0</v>
      </c>
    </row>
    <row r="13" spans="2:9" ht="15" customHeight="1" x14ac:dyDescent="0.2">
      <c r="B13" t="s">
        <v>59</v>
      </c>
      <c r="C13" s="12">
        <v>1120</v>
      </c>
      <c r="D13" s="8">
        <v>8.91</v>
      </c>
      <c r="E13" s="12">
        <v>340</v>
      </c>
      <c r="F13" s="8">
        <v>5.13</v>
      </c>
      <c r="G13" s="12">
        <v>776</v>
      </c>
      <c r="H13" s="8">
        <v>13.34</v>
      </c>
      <c r="I13" s="12">
        <v>4</v>
      </c>
    </row>
    <row r="14" spans="2:9" ht="15" customHeight="1" x14ac:dyDescent="0.2">
      <c r="B14" t="s">
        <v>60</v>
      </c>
      <c r="C14" s="12">
        <v>715</v>
      </c>
      <c r="D14" s="8">
        <v>5.69</v>
      </c>
      <c r="E14" s="12">
        <v>389</v>
      </c>
      <c r="F14" s="8">
        <v>5.87</v>
      </c>
      <c r="G14" s="12">
        <v>325</v>
      </c>
      <c r="H14" s="8">
        <v>5.59</v>
      </c>
      <c r="I14" s="12">
        <v>0</v>
      </c>
    </row>
    <row r="15" spans="2:9" ht="15" customHeight="1" x14ac:dyDescent="0.2">
      <c r="B15" t="s">
        <v>61</v>
      </c>
      <c r="C15" s="12">
        <v>1582</v>
      </c>
      <c r="D15" s="8">
        <v>12.58</v>
      </c>
      <c r="E15" s="12">
        <v>1384</v>
      </c>
      <c r="F15" s="8">
        <v>20.87</v>
      </c>
      <c r="G15" s="12">
        <v>194</v>
      </c>
      <c r="H15" s="8">
        <v>3.34</v>
      </c>
      <c r="I15" s="12">
        <v>3</v>
      </c>
    </row>
    <row r="16" spans="2:9" ht="15" customHeight="1" x14ac:dyDescent="0.2">
      <c r="B16" t="s">
        <v>62</v>
      </c>
      <c r="C16" s="12">
        <v>1487</v>
      </c>
      <c r="D16" s="8">
        <v>11.83</v>
      </c>
      <c r="E16" s="12">
        <v>1159</v>
      </c>
      <c r="F16" s="8">
        <v>17.48</v>
      </c>
      <c r="G16" s="12">
        <v>326</v>
      </c>
      <c r="H16" s="8">
        <v>5.61</v>
      </c>
      <c r="I16" s="12">
        <v>1</v>
      </c>
    </row>
    <row r="17" spans="2:9" ht="15" customHeight="1" x14ac:dyDescent="0.2">
      <c r="B17" t="s">
        <v>63</v>
      </c>
      <c r="C17" s="12">
        <v>639</v>
      </c>
      <c r="D17" s="8">
        <v>5.08</v>
      </c>
      <c r="E17" s="12">
        <v>415</v>
      </c>
      <c r="F17" s="8">
        <v>6.26</v>
      </c>
      <c r="G17" s="12">
        <v>143</v>
      </c>
      <c r="H17" s="8">
        <v>2.46</v>
      </c>
      <c r="I17" s="12">
        <v>1</v>
      </c>
    </row>
    <row r="18" spans="2:9" ht="15" customHeight="1" x14ac:dyDescent="0.2">
      <c r="B18" t="s">
        <v>64</v>
      </c>
      <c r="C18" s="12">
        <v>553</v>
      </c>
      <c r="D18" s="8">
        <v>4.4000000000000004</v>
      </c>
      <c r="E18" s="12">
        <v>361</v>
      </c>
      <c r="F18" s="8">
        <v>5.44</v>
      </c>
      <c r="G18" s="12">
        <v>173</v>
      </c>
      <c r="H18" s="8">
        <v>2.97</v>
      </c>
      <c r="I18" s="12">
        <v>0</v>
      </c>
    </row>
    <row r="19" spans="2:9" ht="15" customHeight="1" x14ac:dyDescent="0.2">
      <c r="B19" t="s">
        <v>65</v>
      </c>
      <c r="C19" s="12">
        <v>453</v>
      </c>
      <c r="D19" s="8">
        <v>3.6</v>
      </c>
      <c r="E19" s="12">
        <v>183</v>
      </c>
      <c r="F19" s="8">
        <v>2.76</v>
      </c>
      <c r="G19" s="12">
        <v>262</v>
      </c>
      <c r="H19" s="8">
        <v>4.5</v>
      </c>
      <c r="I19" s="12">
        <v>6</v>
      </c>
    </row>
    <row r="20" spans="2:9" ht="15" customHeight="1" x14ac:dyDescent="0.2">
      <c r="B20" s="9" t="s">
        <v>215</v>
      </c>
      <c r="C20" s="12">
        <f>SUM(LTBL_28201[総数／事業所数])</f>
        <v>12571</v>
      </c>
      <c r="E20" s="12">
        <f>SUBTOTAL(109,LTBL_28201[個人／事業所数])</f>
        <v>6630</v>
      </c>
      <c r="G20" s="12">
        <f>SUBTOTAL(109,LTBL_28201[法人／事業所数])</f>
        <v>5816</v>
      </c>
      <c r="I20" s="12">
        <f>SUBTOTAL(109,LTBL_28201[法人以外の団体／事業所数])</f>
        <v>19</v>
      </c>
    </row>
    <row r="21" spans="2:9" ht="15" customHeight="1" x14ac:dyDescent="0.2">
      <c r="E21" s="11">
        <f>LTBL_28201[[#Totals],[個人／事業所数]]/LTBL_28201[[#Totals],[総数／事業所数]]</f>
        <v>0.52740434332988628</v>
      </c>
      <c r="G21" s="11">
        <f>LTBL_28201[[#Totals],[法人／事業所数]]/LTBL_28201[[#Totals],[総数／事業所数]]</f>
        <v>0.46265213586826825</v>
      </c>
      <c r="I21" s="11">
        <f>LTBL_28201[[#Totals],[法人以外の団体／事業所数]]/LTBL_28201[[#Totals],[総数／事業所数]]</f>
        <v>1.5114151618805186E-3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1463</v>
      </c>
      <c r="D24" s="8">
        <v>11.64</v>
      </c>
      <c r="E24" s="12">
        <v>1333</v>
      </c>
      <c r="F24" s="8">
        <v>20.11</v>
      </c>
      <c r="G24" s="12">
        <v>127</v>
      </c>
      <c r="H24" s="8">
        <v>2.1800000000000002</v>
      </c>
      <c r="I24" s="12">
        <v>3</v>
      </c>
    </row>
    <row r="25" spans="2:9" ht="15" customHeight="1" x14ac:dyDescent="0.2">
      <c r="B25" t="s">
        <v>89</v>
      </c>
      <c r="C25" s="12">
        <v>1258</v>
      </c>
      <c r="D25" s="8">
        <v>10.01</v>
      </c>
      <c r="E25" s="12">
        <v>1050</v>
      </c>
      <c r="F25" s="8">
        <v>15.84</v>
      </c>
      <c r="G25" s="12">
        <v>208</v>
      </c>
      <c r="H25" s="8">
        <v>3.58</v>
      </c>
      <c r="I25" s="12">
        <v>0</v>
      </c>
    </row>
    <row r="26" spans="2:9" ht="15" customHeight="1" x14ac:dyDescent="0.2">
      <c r="B26" t="s">
        <v>74</v>
      </c>
      <c r="C26" s="12">
        <v>838</v>
      </c>
      <c r="D26" s="8">
        <v>6.67</v>
      </c>
      <c r="E26" s="12">
        <v>175</v>
      </c>
      <c r="F26" s="8">
        <v>2.64</v>
      </c>
      <c r="G26" s="12">
        <v>663</v>
      </c>
      <c r="H26" s="8">
        <v>11.4</v>
      </c>
      <c r="I26" s="12">
        <v>0</v>
      </c>
    </row>
    <row r="27" spans="2:9" ht="15" customHeight="1" x14ac:dyDescent="0.2">
      <c r="B27" t="s">
        <v>85</v>
      </c>
      <c r="C27" s="12">
        <v>821</v>
      </c>
      <c r="D27" s="8">
        <v>6.53</v>
      </c>
      <c r="E27" s="12">
        <v>292</v>
      </c>
      <c r="F27" s="8">
        <v>4.4000000000000004</v>
      </c>
      <c r="G27" s="12">
        <v>525</v>
      </c>
      <c r="H27" s="8">
        <v>9.0299999999999994</v>
      </c>
      <c r="I27" s="12">
        <v>4</v>
      </c>
    </row>
    <row r="28" spans="2:9" ht="15" customHeight="1" x14ac:dyDescent="0.2">
      <c r="B28" t="s">
        <v>83</v>
      </c>
      <c r="C28" s="12">
        <v>820</v>
      </c>
      <c r="D28" s="8">
        <v>6.52</v>
      </c>
      <c r="E28" s="12">
        <v>468</v>
      </c>
      <c r="F28" s="8">
        <v>7.06</v>
      </c>
      <c r="G28" s="12">
        <v>351</v>
      </c>
      <c r="H28" s="8">
        <v>6.04</v>
      </c>
      <c r="I28" s="12">
        <v>1</v>
      </c>
    </row>
    <row r="29" spans="2:9" ht="15" customHeight="1" x14ac:dyDescent="0.2">
      <c r="B29" t="s">
        <v>91</v>
      </c>
      <c r="C29" s="12">
        <v>639</v>
      </c>
      <c r="D29" s="8">
        <v>5.08</v>
      </c>
      <c r="E29" s="12">
        <v>415</v>
      </c>
      <c r="F29" s="8">
        <v>6.26</v>
      </c>
      <c r="G29" s="12">
        <v>143</v>
      </c>
      <c r="H29" s="8">
        <v>2.46</v>
      </c>
      <c r="I29" s="12">
        <v>1</v>
      </c>
    </row>
    <row r="30" spans="2:9" ht="15" customHeight="1" x14ac:dyDescent="0.2">
      <c r="B30" t="s">
        <v>81</v>
      </c>
      <c r="C30" s="12">
        <v>508</v>
      </c>
      <c r="D30" s="8">
        <v>4.04</v>
      </c>
      <c r="E30" s="12">
        <v>361</v>
      </c>
      <c r="F30" s="8">
        <v>5.44</v>
      </c>
      <c r="G30" s="12">
        <v>147</v>
      </c>
      <c r="H30" s="8">
        <v>2.5299999999999998</v>
      </c>
      <c r="I30" s="12">
        <v>0</v>
      </c>
    </row>
    <row r="31" spans="2:9" ht="15" customHeight="1" x14ac:dyDescent="0.2">
      <c r="B31" t="s">
        <v>76</v>
      </c>
      <c r="C31" s="12">
        <v>453</v>
      </c>
      <c r="D31" s="8">
        <v>3.6</v>
      </c>
      <c r="E31" s="12">
        <v>111</v>
      </c>
      <c r="F31" s="8">
        <v>1.67</v>
      </c>
      <c r="G31" s="12">
        <v>342</v>
      </c>
      <c r="H31" s="8">
        <v>5.88</v>
      </c>
      <c r="I31" s="12">
        <v>0</v>
      </c>
    </row>
    <row r="32" spans="2:9" ht="15" customHeight="1" x14ac:dyDescent="0.2">
      <c r="B32" t="s">
        <v>82</v>
      </c>
      <c r="C32" s="12">
        <v>422</v>
      </c>
      <c r="D32" s="8">
        <v>3.36</v>
      </c>
      <c r="E32" s="12">
        <v>279</v>
      </c>
      <c r="F32" s="8">
        <v>4.21</v>
      </c>
      <c r="G32" s="12">
        <v>143</v>
      </c>
      <c r="H32" s="8">
        <v>2.46</v>
      </c>
      <c r="I32" s="12">
        <v>0</v>
      </c>
    </row>
    <row r="33" spans="2:9" ht="15" customHeight="1" x14ac:dyDescent="0.2">
      <c r="B33" t="s">
        <v>86</v>
      </c>
      <c r="C33" s="12">
        <v>402</v>
      </c>
      <c r="D33" s="8">
        <v>3.2</v>
      </c>
      <c r="E33" s="12">
        <v>269</v>
      </c>
      <c r="F33" s="8">
        <v>4.0599999999999996</v>
      </c>
      <c r="G33" s="12">
        <v>133</v>
      </c>
      <c r="H33" s="8">
        <v>2.29</v>
      </c>
      <c r="I33" s="12">
        <v>0</v>
      </c>
    </row>
    <row r="34" spans="2:9" ht="15" customHeight="1" x14ac:dyDescent="0.2">
      <c r="B34" t="s">
        <v>92</v>
      </c>
      <c r="C34" s="12">
        <v>397</v>
      </c>
      <c r="D34" s="8">
        <v>3.16</v>
      </c>
      <c r="E34" s="12">
        <v>360</v>
      </c>
      <c r="F34" s="8">
        <v>5.43</v>
      </c>
      <c r="G34" s="12">
        <v>37</v>
      </c>
      <c r="H34" s="8">
        <v>0.64</v>
      </c>
      <c r="I34" s="12">
        <v>0</v>
      </c>
    </row>
    <row r="35" spans="2:9" ht="15" customHeight="1" x14ac:dyDescent="0.2">
      <c r="B35" t="s">
        <v>80</v>
      </c>
      <c r="C35" s="12">
        <v>392</v>
      </c>
      <c r="D35" s="8">
        <v>3.12</v>
      </c>
      <c r="E35" s="12">
        <v>198</v>
      </c>
      <c r="F35" s="8">
        <v>2.99</v>
      </c>
      <c r="G35" s="12">
        <v>194</v>
      </c>
      <c r="H35" s="8">
        <v>3.34</v>
      </c>
      <c r="I35" s="12">
        <v>0</v>
      </c>
    </row>
    <row r="36" spans="2:9" ht="15" customHeight="1" x14ac:dyDescent="0.2">
      <c r="B36" t="s">
        <v>75</v>
      </c>
      <c r="C36" s="12">
        <v>368</v>
      </c>
      <c r="D36" s="8">
        <v>2.93</v>
      </c>
      <c r="E36" s="12">
        <v>144</v>
      </c>
      <c r="F36" s="8">
        <v>2.17</v>
      </c>
      <c r="G36" s="12">
        <v>224</v>
      </c>
      <c r="H36" s="8">
        <v>3.85</v>
      </c>
      <c r="I36" s="12">
        <v>0</v>
      </c>
    </row>
    <row r="37" spans="2:9" ht="15" customHeight="1" x14ac:dyDescent="0.2">
      <c r="B37" t="s">
        <v>87</v>
      </c>
      <c r="C37" s="12">
        <v>289</v>
      </c>
      <c r="D37" s="8">
        <v>2.2999999999999998</v>
      </c>
      <c r="E37" s="12">
        <v>120</v>
      </c>
      <c r="F37" s="8">
        <v>1.81</v>
      </c>
      <c r="G37" s="12">
        <v>168</v>
      </c>
      <c r="H37" s="8">
        <v>2.89</v>
      </c>
      <c r="I37" s="12">
        <v>0</v>
      </c>
    </row>
    <row r="38" spans="2:9" ht="15" customHeight="1" x14ac:dyDescent="0.2">
      <c r="B38" t="s">
        <v>84</v>
      </c>
      <c r="C38" s="12">
        <v>249</v>
      </c>
      <c r="D38" s="8">
        <v>1.98</v>
      </c>
      <c r="E38" s="12">
        <v>40</v>
      </c>
      <c r="F38" s="8">
        <v>0.6</v>
      </c>
      <c r="G38" s="12">
        <v>209</v>
      </c>
      <c r="H38" s="8">
        <v>3.59</v>
      </c>
      <c r="I38" s="12">
        <v>0</v>
      </c>
    </row>
    <row r="39" spans="2:9" ht="15" customHeight="1" x14ac:dyDescent="0.2">
      <c r="B39" t="s">
        <v>97</v>
      </c>
      <c r="C39" s="12">
        <v>188</v>
      </c>
      <c r="D39" s="8">
        <v>1.5</v>
      </c>
      <c r="E39" s="12">
        <v>25</v>
      </c>
      <c r="F39" s="8">
        <v>0.38</v>
      </c>
      <c r="G39" s="12">
        <v>163</v>
      </c>
      <c r="H39" s="8">
        <v>2.8</v>
      </c>
      <c r="I39" s="12">
        <v>0</v>
      </c>
    </row>
    <row r="40" spans="2:9" ht="15" customHeight="1" x14ac:dyDescent="0.2">
      <c r="B40" t="s">
        <v>78</v>
      </c>
      <c r="C40" s="12">
        <v>181</v>
      </c>
      <c r="D40" s="8">
        <v>1.44</v>
      </c>
      <c r="E40" s="12">
        <v>23</v>
      </c>
      <c r="F40" s="8">
        <v>0.35</v>
      </c>
      <c r="G40" s="12">
        <v>158</v>
      </c>
      <c r="H40" s="8">
        <v>2.72</v>
      </c>
      <c r="I40" s="12">
        <v>0</v>
      </c>
    </row>
    <row r="41" spans="2:9" ht="15" customHeight="1" x14ac:dyDescent="0.2">
      <c r="B41" t="s">
        <v>104</v>
      </c>
      <c r="C41" s="12">
        <v>179</v>
      </c>
      <c r="D41" s="8">
        <v>1.42</v>
      </c>
      <c r="E41" s="12">
        <v>141</v>
      </c>
      <c r="F41" s="8">
        <v>2.13</v>
      </c>
      <c r="G41" s="12">
        <v>38</v>
      </c>
      <c r="H41" s="8">
        <v>0.65</v>
      </c>
      <c r="I41" s="12">
        <v>0</v>
      </c>
    </row>
    <row r="42" spans="2:9" ht="15" customHeight="1" x14ac:dyDescent="0.2">
      <c r="B42" t="s">
        <v>77</v>
      </c>
      <c r="C42" s="12">
        <v>165</v>
      </c>
      <c r="D42" s="8">
        <v>1.31</v>
      </c>
      <c r="E42" s="12">
        <v>53</v>
      </c>
      <c r="F42" s="8">
        <v>0.8</v>
      </c>
      <c r="G42" s="12">
        <v>112</v>
      </c>
      <c r="H42" s="8">
        <v>1.93</v>
      </c>
      <c r="I42" s="12">
        <v>0</v>
      </c>
    </row>
    <row r="43" spans="2:9" ht="15" customHeight="1" x14ac:dyDescent="0.2">
      <c r="B43" t="s">
        <v>93</v>
      </c>
      <c r="C43" s="12">
        <v>156</v>
      </c>
      <c r="D43" s="8">
        <v>1.24</v>
      </c>
      <c r="E43" s="12">
        <v>1</v>
      </c>
      <c r="F43" s="8">
        <v>0.02</v>
      </c>
      <c r="G43" s="12">
        <v>136</v>
      </c>
      <c r="H43" s="8">
        <v>2.34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685</v>
      </c>
      <c r="D47" s="8">
        <v>5.45</v>
      </c>
      <c r="E47" s="12">
        <v>610</v>
      </c>
      <c r="F47" s="8">
        <v>9.1999999999999993</v>
      </c>
      <c r="G47" s="12">
        <v>75</v>
      </c>
      <c r="H47" s="8">
        <v>1.29</v>
      </c>
      <c r="I47" s="12">
        <v>0</v>
      </c>
    </row>
    <row r="48" spans="2:9" ht="15" customHeight="1" x14ac:dyDescent="0.2">
      <c r="B48" t="s">
        <v>132</v>
      </c>
      <c r="C48" s="12">
        <v>394</v>
      </c>
      <c r="D48" s="8">
        <v>3.13</v>
      </c>
      <c r="E48" s="12">
        <v>188</v>
      </c>
      <c r="F48" s="8">
        <v>2.84</v>
      </c>
      <c r="G48" s="12">
        <v>205</v>
      </c>
      <c r="H48" s="8">
        <v>3.52</v>
      </c>
      <c r="I48" s="12">
        <v>1</v>
      </c>
    </row>
    <row r="49" spans="2:9" ht="15" customHeight="1" x14ac:dyDescent="0.2">
      <c r="B49" t="s">
        <v>136</v>
      </c>
      <c r="C49" s="12">
        <v>348</v>
      </c>
      <c r="D49" s="8">
        <v>2.77</v>
      </c>
      <c r="E49" s="12">
        <v>322</v>
      </c>
      <c r="F49" s="8">
        <v>4.8600000000000003</v>
      </c>
      <c r="G49" s="12">
        <v>26</v>
      </c>
      <c r="H49" s="8">
        <v>0.45</v>
      </c>
      <c r="I49" s="12">
        <v>0</v>
      </c>
    </row>
    <row r="50" spans="2:9" ht="15" customHeight="1" x14ac:dyDescent="0.2">
      <c r="B50" t="s">
        <v>122</v>
      </c>
      <c r="C50" s="12">
        <v>340</v>
      </c>
      <c r="D50" s="8">
        <v>2.7</v>
      </c>
      <c r="E50" s="12">
        <v>55</v>
      </c>
      <c r="F50" s="8">
        <v>0.83</v>
      </c>
      <c r="G50" s="12">
        <v>285</v>
      </c>
      <c r="H50" s="8">
        <v>4.9000000000000004</v>
      </c>
      <c r="I50" s="12">
        <v>0</v>
      </c>
    </row>
    <row r="51" spans="2:9" ht="15" customHeight="1" x14ac:dyDescent="0.2">
      <c r="B51" t="s">
        <v>135</v>
      </c>
      <c r="C51" s="12">
        <v>319</v>
      </c>
      <c r="D51" s="8">
        <v>2.54</v>
      </c>
      <c r="E51" s="12">
        <v>313</v>
      </c>
      <c r="F51" s="8">
        <v>4.72</v>
      </c>
      <c r="G51" s="12">
        <v>6</v>
      </c>
      <c r="H51" s="8">
        <v>0.1</v>
      </c>
      <c r="I51" s="12">
        <v>0</v>
      </c>
    </row>
    <row r="52" spans="2:9" ht="15" customHeight="1" x14ac:dyDescent="0.2">
      <c r="B52" t="s">
        <v>140</v>
      </c>
      <c r="C52" s="12">
        <v>319</v>
      </c>
      <c r="D52" s="8">
        <v>2.54</v>
      </c>
      <c r="E52" s="12">
        <v>250</v>
      </c>
      <c r="F52" s="8">
        <v>3.77</v>
      </c>
      <c r="G52" s="12">
        <v>69</v>
      </c>
      <c r="H52" s="8">
        <v>1.19</v>
      </c>
      <c r="I52" s="12">
        <v>0</v>
      </c>
    </row>
    <row r="53" spans="2:9" ht="15" customHeight="1" x14ac:dyDescent="0.2">
      <c r="B53" t="s">
        <v>137</v>
      </c>
      <c r="C53" s="12">
        <v>318</v>
      </c>
      <c r="D53" s="8">
        <v>2.5299999999999998</v>
      </c>
      <c r="E53" s="12">
        <v>307</v>
      </c>
      <c r="F53" s="8">
        <v>4.63</v>
      </c>
      <c r="G53" s="12">
        <v>11</v>
      </c>
      <c r="H53" s="8">
        <v>0.19</v>
      </c>
      <c r="I53" s="12">
        <v>0</v>
      </c>
    </row>
    <row r="54" spans="2:9" ht="15" customHeight="1" x14ac:dyDescent="0.2">
      <c r="B54" t="s">
        <v>133</v>
      </c>
      <c r="C54" s="12">
        <v>284</v>
      </c>
      <c r="D54" s="8">
        <v>2.2599999999999998</v>
      </c>
      <c r="E54" s="12">
        <v>243</v>
      </c>
      <c r="F54" s="8">
        <v>3.67</v>
      </c>
      <c r="G54" s="12">
        <v>39</v>
      </c>
      <c r="H54" s="8">
        <v>0.67</v>
      </c>
      <c r="I54" s="12">
        <v>2</v>
      </c>
    </row>
    <row r="55" spans="2:9" ht="15" customHeight="1" x14ac:dyDescent="0.2">
      <c r="B55" t="s">
        <v>129</v>
      </c>
      <c r="C55" s="12">
        <v>277</v>
      </c>
      <c r="D55" s="8">
        <v>2.2000000000000002</v>
      </c>
      <c r="E55" s="12">
        <v>197</v>
      </c>
      <c r="F55" s="8">
        <v>2.97</v>
      </c>
      <c r="G55" s="12">
        <v>80</v>
      </c>
      <c r="H55" s="8">
        <v>1.38</v>
      </c>
      <c r="I55" s="12">
        <v>0</v>
      </c>
    </row>
    <row r="56" spans="2:9" ht="15" customHeight="1" x14ac:dyDescent="0.2">
      <c r="B56" t="s">
        <v>141</v>
      </c>
      <c r="C56" s="12">
        <v>276</v>
      </c>
      <c r="D56" s="8">
        <v>2.2000000000000002</v>
      </c>
      <c r="E56" s="12">
        <v>259</v>
      </c>
      <c r="F56" s="8">
        <v>3.91</v>
      </c>
      <c r="G56" s="12">
        <v>17</v>
      </c>
      <c r="H56" s="8">
        <v>0.28999999999999998</v>
      </c>
      <c r="I56" s="12">
        <v>0</v>
      </c>
    </row>
    <row r="57" spans="2:9" ht="15" customHeight="1" x14ac:dyDescent="0.2">
      <c r="B57" t="s">
        <v>134</v>
      </c>
      <c r="C57" s="12">
        <v>262</v>
      </c>
      <c r="D57" s="8">
        <v>2.08</v>
      </c>
      <c r="E57" s="12">
        <v>245</v>
      </c>
      <c r="F57" s="8">
        <v>3.7</v>
      </c>
      <c r="G57" s="12">
        <v>17</v>
      </c>
      <c r="H57" s="8">
        <v>0.28999999999999998</v>
      </c>
      <c r="I57" s="12">
        <v>0</v>
      </c>
    </row>
    <row r="58" spans="2:9" ht="15" customHeight="1" x14ac:dyDescent="0.2">
      <c r="B58" t="s">
        <v>127</v>
      </c>
      <c r="C58" s="12">
        <v>247</v>
      </c>
      <c r="D58" s="8">
        <v>1.96</v>
      </c>
      <c r="E58" s="12">
        <v>164</v>
      </c>
      <c r="F58" s="8">
        <v>2.4700000000000002</v>
      </c>
      <c r="G58" s="12">
        <v>83</v>
      </c>
      <c r="H58" s="8">
        <v>1.43</v>
      </c>
      <c r="I58" s="12">
        <v>0</v>
      </c>
    </row>
    <row r="59" spans="2:9" ht="15" customHeight="1" x14ac:dyDescent="0.2">
      <c r="B59" t="s">
        <v>139</v>
      </c>
      <c r="C59" s="12">
        <v>209</v>
      </c>
      <c r="D59" s="8">
        <v>1.66</v>
      </c>
      <c r="E59" s="12">
        <v>163</v>
      </c>
      <c r="F59" s="8">
        <v>2.46</v>
      </c>
      <c r="G59" s="12">
        <v>46</v>
      </c>
      <c r="H59" s="8">
        <v>0.79</v>
      </c>
      <c r="I59" s="12">
        <v>0</v>
      </c>
    </row>
    <row r="60" spans="2:9" ht="15" customHeight="1" x14ac:dyDescent="0.2">
      <c r="B60" t="s">
        <v>131</v>
      </c>
      <c r="C60" s="12">
        <v>195</v>
      </c>
      <c r="D60" s="8">
        <v>1.55</v>
      </c>
      <c r="E60" s="12">
        <v>24</v>
      </c>
      <c r="F60" s="8">
        <v>0.36</v>
      </c>
      <c r="G60" s="12">
        <v>171</v>
      </c>
      <c r="H60" s="8">
        <v>2.94</v>
      </c>
      <c r="I60" s="12">
        <v>0</v>
      </c>
    </row>
    <row r="61" spans="2:9" ht="15" customHeight="1" x14ac:dyDescent="0.2">
      <c r="B61" t="s">
        <v>123</v>
      </c>
      <c r="C61" s="12">
        <v>193</v>
      </c>
      <c r="D61" s="8">
        <v>1.54</v>
      </c>
      <c r="E61" s="12">
        <v>31</v>
      </c>
      <c r="F61" s="8">
        <v>0.47</v>
      </c>
      <c r="G61" s="12">
        <v>162</v>
      </c>
      <c r="H61" s="8">
        <v>2.79</v>
      </c>
      <c r="I61" s="12">
        <v>0</v>
      </c>
    </row>
    <row r="62" spans="2:9" ht="15" customHeight="1" x14ac:dyDescent="0.2">
      <c r="B62" t="s">
        <v>125</v>
      </c>
      <c r="C62" s="12">
        <v>185</v>
      </c>
      <c r="D62" s="8">
        <v>1.47</v>
      </c>
      <c r="E62" s="12">
        <v>88</v>
      </c>
      <c r="F62" s="8">
        <v>1.33</v>
      </c>
      <c r="G62" s="12">
        <v>97</v>
      </c>
      <c r="H62" s="8">
        <v>1.67</v>
      </c>
      <c r="I62" s="12">
        <v>0</v>
      </c>
    </row>
    <row r="63" spans="2:9" ht="15" customHeight="1" x14ac:dyDescent="0.2">
      <c r="B63" t="s">
        <v>124</v>
      </c>
      <c r="C63" s="12">
        <v>184</v>
      </c>
      <c r="D63" s="8">
        <v>1.46</v>
      </c>
      <c r="E63" s="12">
        <v>51</v>
      </c>
      <c r="F63" s="8">
        <v>0.77</v>
      </c>
      <c r="G63" s="12">
        <v>133</v>
      </c>
      <c r="H63" s="8">
        <v>2.29</v>
      </c>
      <c r="I63" s="12">
        <v>0</v>
      </c>
    </row>
    <row r="64" spans="2:9" ht="15" customHeight="1" x14ac:dyDescent="0.2">
      <c r="B64" t="s">
        <v>165</v>
      </c>
      <c r="C64" s="12">
        <v>179</v>
      </c>
      <c r="D64" s="8">
        <v>1.42</v>
      </c>
      <c r="E64" s="12">
        <v>141</v>
      </c>
      <c r="F64" s="8">
        <v>2.13</v>
      </c>
      <c r="G64" s="12">
        <v>38</v>
      </c>
      <c r="H64" s="8">
        <v>0.65</v>
      </c>
      <c r="I64" s="12">
        <v>0</v>
      </c>
    </row>
    <row r="65" spans="2:9" ht="15" customHeight="1" x14ac:dyDescent="0.2">
      <c r="B65" t="s">
        <v>144</v>
      </c>
      <c r="C65" s="12">
        <v>176</v>
      </c>
      <c r="D65" s="8">
        <v>1.4</v>
      </c>
      <c r="E65" s="12">
        <v>69</v>
      </c>
      <c r="F65" s="8">
        <v>1.04</v>
      </c>
      <c r="G65" s="12">
        <v>106</v>
      </c>
      <c r="H65" s="8">
        <v>1.82</v>
      </c>
      <c r="I65" s="12">
        <v>0</v>
      </c>
    </row>
    <row r="66" spans="2:9" ht="15" customHeight="1" x14ac:dyDescent="0.2">
      <c r="B66" t="s">
        <v>130</v>
      </c>
      <c r="C66" s="12">
        <v>175</v>
      </c>
      <c r="D66" s="8">
        <v>1.39</v>
      </c>
      <c r="E66" s="12">
        <v>34</v>
      </c>
      <c r="F66" s="8">
        <v>0.51</v>
      </c>
      <c r="G66" s="12">
        <v>141</v>
      </c>
      <c r="H66" s="8">
        <v>2.42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87A6-16C5-4635-A7B5-1789130C62C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230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1211</v>
      </c>
      <c r="D6" s="8">
        <v>12.6</v>
      </c>
      <c r="E6" s="12">
        <v>209</v>
      </c>
      <c r="F6" s="8">
        <v>4.3099999999999996</v>
      </c>
      <c r="G6" s="12">
        <v>1002</v>
      </c>
      <c r="H6" s="8">
        <v>21.52</v>
      </c>
      <c r="I6" s="12">
        <v>0</v>
      </c>
    </row>
    <row r="7" spans="2:9" ht="15" customHeight="1" x14ac:dyDescent="0.2">
      <c r="B7" t="s">
        <v>53</v>
      </c>
      <c r="C7" s="12">
        <v>978</v>
      </c>
      <c r="D7" s="8">
        <v>10.18</v>
      </c>
      <c r="E7" s="12">
        <v>312</v>
      </c>
      <c r="F7" s="8">
        <v>6.44</v>
      </c>
      <c r="G7" s="12">
        <v>666</v>
      </c>
      <c r="H7" s="8">
        <v>14.3</v>
      </c>
      <c r="I7" s="12">
        <v>0</v>
      </c>
    </row>
    <row r="8" spans="2:9" ht="15" customHeight="1" x14ac:dyDescent="0.2">
      <c r="B8" t="s">
        <v>54</v>
      </c>
      <c r="C8" s="12">
        <v>7</v>
      </c>
      <c r="D8" s="8">
        <v>7.0000000000000007E-2</v>
      </c>
      <c r="E8" s="12">
        <v>0</v>
      </c>
      <c r="F8" s="8">
        <v>0</v>
      </c>
      <c r="G8" s="12">
        <v>6</v>
      </c>
      <c r="H8" s="8">
        <v>0.13</v>
      </c>
      <c r="I8" s="12">
        <v>0</v>
      </c>
    </row>
    <row r="9" spans="2:9" ht="15" customHeight="1" x14ac:dyDescent="0.2">
      <c r="B9" t="s">
        <v>55</v>
      </c>
      <c r="C9" s="12">
        <v>63</v>
      </c>
      <c r="D9" s="8">
        <v>0.66</v>
      </c>
      <c r="E9" s="12">
        <v>7</v>
      </c>
      <c r="F9" s="8">
        <v>0.14000000000000001</v>
      </c>
      <c r="G9" s="12">
        <v>56</v>
      </c>
      <c r="H9" s="8">
        <v>1.2</v>
      </c>
      <c r="I9" s="12">
        <v>0</v>
      </c>
    </row>
    <row r="10" spans="2:9" ht="15" customHeight="1" x14ac:dyDescent="0.2">
      <c r="B10" t="s">
        <v>56</v>
      </c>
      <c r="C10" s="12">
        <v>92</v>
      </c>
      <c r="D10" s="8">
        <v>0.96</v>
      </c>
      <c r="E10" s="12">
        <v>16</v>
      </c>
      <c r="F10" s="8">
        <v>0.33</v>
      </c>
      <c r="G10" s="12">
        <v>76</v>
      </c>
      <c r="H10" s="8">
        <v>1.63</v>
      </c>
      <c r="I10" s="12">
        <v>0</v>
      </c>
    </row>
    <row r="11" spans="2:9" ht="15" customHeight="1" x14ac:dyDescent="0.2">
      <c r="B11" t="s">
        <v>57</v>
      </c>
      <c r="C11" s="12">
        <v>1932</v>
      </c>
      <c r="D11" s="8">
        <v>20.100000000000001</v>
      </c>
      <c r="E11" s="12">
        <v>964</v>
      </c>
      <c r="F11" s="8">
        <v>19.899999999999999</v>
      </c>
      <c r="G11" s="12">
        <v>968</v>
      </c>
      <c r="H11" s="8">
        <v>20.79</v>
      </c>
      <c r="I11" s="12">
        <v>0</v>
      </c>
    </row>
    <row r="12" spans="2:9" ht="15" customHeight="1" x14ac:dyDescent="0.2">
      <c r="B12" t="s">
        <v>58</v>
      </c>
      <c r="C12" s="12">
        <v>40</v>
      </c>
      <c r="D12" s="8">
        <v>0.42</v>
      </c>
      <c r="E12" s="12">
        <v>4</v>
      </c>
      <c r="F12" s="8">
        <v>0.08</v>
      </c>
      <c r="G12" s="12">
        <v>36</v>
      </c>
      <c r="H12" s="8">
        <v>0.77</v>
      </c>
      <c r="I12" s="12">
        <v>0</v>
      </c>
    </row>
    <row r="13" spans="2:9" ht="15" customHeight="1" x14ac:dyDescent="0.2">
      <c r="B13" t="s">
        <v>59</v>
      </c>
      <c r="C13" s="12">
        <v>1095</v>
      </c>
      <c r="D13" s="8">
        <v>11.39</v>
      </c>
      <c r="E13" s="12">
        <v>265</v>
      </c>
      <c r="F13" s="8">
        <v>5.47</v>
      </c>
      <c r="G13" s="12">
        <v>829</v>
      </c>
      <c r="H13" s="8">
        <v>17.8</v>
      </c>
      <c r="I13" s="12">
        <v>1</v>
      </c>
    </row>
    <row r="14" spans="2:9" ht="15" customHeight="1" x14ac:dyDescent="0.2">
      <c r="B14" t="s">
        <v>60</v>
      </c>
      <c r="C14" s="12">
        <v>424</v>
      </c>
      <c r="D14" s="8">
        <v>4.41</v>
      </c>
      <c r="E14" s="12">
        <v>237</v>
      </c>
      <c r="F14" s="8">
        <v>4.8899999999999997</v>
      </c>
      <c r="G14" s="12">
        <v>183</v>
      </c>
      <c r="H14" s="8">
        <v>3.93</v>
      </c>
      <c r="I14" s="12">
        <v>2</v>
      </c>
    </row>
    <row r="15" spans="2:9" ht="15" customHeight="1" x14ac:dyDescent="0.2">
      <c r="B15" t="s">
        <v>61</v>
      </c>
      <c r="C15" s="12">
        <v>1484</v>
      </c>
      <c r="D15" s="8">
        <v>15.44</v>
      </c>
      <c r="E15" s="12">
        <v>1323</v>
      </c>
      <c r="F15" s="8">
        <v>27.31</v>
      </c>
      <c r="G15" s="12">
        <v>160</v>
      </c>
      <c r="H15" s="8">
        <v>3.44</v>
      </c>
      <c r="I15" s="12">
        <v>1</v>
      </c>
    </row>
    <row r="16" spans="2:9" ht="15" customHeight="1" x14ac:dyDescent="0.2">
      <c r="B16" t="s">
        <v>62</v>
      </c>
      <c r="C16" s="12">
        <v>1076</v>
      </c>
      <c r="D16" s="8">
        <v>11.2</v>
      </c>
      <c r="E16" s="12">
        <v>843</v>
      </c>
      <c r="F16" s="8">
        <v>17.399999999999999</v>
      </c>
      <c r="G16" s="12">
        <v>232</v>
      </c>
      <c r="H16" s="8">
        <v>4.9800000000000004</v>
      </c>
      <c r="I16" s="12">
        <v>1</v>
      </c>
    </row>
    <row r="17" spans="2:9" ht="15" customHeight="1" x14ac:dyDescent="0.2">
      <c r="B17" t="s">
        <v>63</v>
      </c>
      <c r="C17" s="12">
        <v>314</v>
      </c>
      <c r="D17" s="8">
        <v>3.27</v>
      </c>
      <c r="E17" s="12">
        <v>240</v>
      </c>
      <c r="F17" s="8">
        <v>4.95</v>
      </c>
      <c r="G17" s="12">
        <v>72</v>
      </c>
      <c r="H17" s="8">
        <v>1.55</v>
      </c>
      <c r="I17" s="12">
        <v>1</v>
      </c>
    </row>
    <row r="18" spans="2:9" ht="15" customHeight="1" x14ac:dyDescent="0.2">
      <c r="B18" t="s">
        <v>64</v>
      </c>
      <c r="C18" s="12">
        <v>607</v>
      </c>
      <c r="D18" s="8">
        <v>6.32</v>
      </c>
      <c r="E18" s="12">
        <v>326</v>
      </c>
      <c r="F18" s="8">
        <v>6.73</v>
      </c>
      <c r="G18" s="12">
        <v>184</v>
      </c>
      <c r="H18" s="8">
        <v>3.95</v>
      </c>
      <c r="I18" s="12">
        <v>2</v>
      </c>
    </row>
    <row r="19" spans="2:9" ht="15" customHeight="1" x14ac:dyDescent="0.2">
      <c r="B19" t="s">
        <v>65</v>
      </c>
      <c r="C19" s="12">
        <v>288</v>
      </c>
      <c r="D19" s="8">
        <v>3</v>
      </c>
      <c r="E19" s="12">
        <v>99</v>
      </c>
      <c r="F19" s="8">
        <v>2.04</v>
      </c>
      <c r="G19" s="12">
        <v>187</v>
      </c>
      <c r="H19" s="8">
        <v>4.0199999999999996</v>
      </c>
      <c r="I19" s="12">
        <v>1</v>
      </c>
    </row>
    <row r="20" spans="2:9" ht="15" customHeight="1" x14ac:dyDescent="0.2">
      <c r="B20" s="9" t="s">
        <v>215</v>
      </c>
      <c r="C20" s="12">
        <f>SUM(LTBL_28202[総数／事業所数])</f>
        <v>9611</v>
      </c>
      <c r="E20" s="12">
        <f>SUBTOTAL(109,LTBL_28202[個人／事業所数])</f>
        <v>4845</v>
      </c>
      <c r="G20" s="12">
        <f>SUBTOTAL(109,LTBL_28202[法人／事業所数])</f>
        <v>4657</v>
      </c>
      <c r="I20" s="12">
        <f>SUBTOTAL(109,LTBL_28202[法人以外の団体／事業所数])</f>
        <v>9</v>
      </c>
    </row>
    <row r="21" spans="2:9" ht="15" customHeight="1" x14ac:dyDescent="0.2">
      <c r="E21" s="11">
        <f>LTBL_28202[[#Totals],[個人／事業所数]]/LTBL_28202[[#Totals],[総数／事業所数]]</f>
        <v>0.50410987410259078</v>
      </c>
      <c r="G21" s="11">
        <f>LTBL_28202[[#Totals],[法人／事業所数]]/LTBL_28202[[#Totals],[総数／事業所数]]</f>
        <v>0.48454895432317135</v>
      </c>
      <c r="I21" s="11">
        <f>LTBL_28202[[#Totals],[法人以外の団体／事業所数]]/LTBL_28202[[#Totals],[総数／事業所数]]</f>
        <v>9.3642701071688689E-4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1379</v>
      </c>
      <c r="D24" s="8">
        <v>14.35</v>
      </c>
      <c r="E24" s="12">
        <v>1281</v>
      </c>
      <c r="F24" s="8">
        <v>26.44</v>
      </c>
      <c r="G24" s="12">
        <v>97</v>
      </c>
      <c r="H24" s="8">
        <v>2.08</v>
      </c>
      <c r="I24" s="12">
        <v>1</v>
      </c>
    </row>
    <row r="25" spans="2:9" ht="15" customHeight="1" x14ac:dyDescent="0.2">
      <c r="B25" t="s">
        <v>89</v>
      </c>
      <c r="C25" s="12">
        <v>898</v>
      </c>
      <c r="D25" s="8">
        <v>9.34</v>
      </c>
      <c r="E25" s="12">
        <v>750</v>
      </c>
      <c r="F25" s="8">
        <v>15.48</v>
      </c>
      <c r="G25" s="12">
        <v>148</v>
      </c>
      <c r="H25" s="8">
        <v>3.18</v>
      </c>
      <c r="I25" s="12">
        <v>0</v>
      </c>
    </row>
    <row r="26" spans="2:9" ht="15" customHeight="1" x14ac:dyDescent="0.2">
      <c r="B26" t="s">
        <v>85</v>
      </c>
      <c r="C26" s="12">
        <v>869</v>
      </c>
      <c r="D26" s="8">
        <v>9.0399999999999991</v>
      </c>
      <c r="E26" s="12">
        <v>224</v>
      </c>
      <c r="F26" s="8">
        <v>4.62</v>
      </c>
      <c r="G26" s="12">
        <v>644</v>
      </c>
      <c r="H26" s="8">
        <v>13.83</v>
      </c>
      <c r="I26" s="12">
        <v>1</v>
      </c>
    </row>
    <row r="27" spans="2:9" ht="15" customHeight="1" x14ac:dyDescent="0.2">
      <c r="B27" t="s">
        <v>83</v>
      </c>
      <c r="C27" s="12">
        <v>532</v>
      </c>
      <c r="D27" s="8">
        <v>5.54</v>
      </c>
      <c r="E27" s="12">
        <v>317</v>
      </c>
      <c r="F27" s="8">
        <v>6.54</v>
      </c>
      <c r="G27" s="12">
        <v>215</v>
      </c>
      <c r="H27" s="8">
        <v>4.62</v>
      </c>
      <c r="I27" s="12">
        <v>0</v>
      </c>
    </row>
    <row r="28" spans="2:9" ht="15" customHeight="1" x14ac:dyDescent="0.2">
      <c r="B28" t="s">
        <v>74</v>
      </c>
      <c r="C28" s="12">
        <v>434</v>
      </c>
      <c r="D28" s="8">
        <v>4.5199999999999996</v>
      </c>
      <c r="E28" s="12">
        <v>69</v>
      </c>
      <c r="F28" s="8">
        <v>1.42</v>
      </c>
      <c r="G28" s="12">
        <v>365</v>
      </c>
      <c r="H28" s="8">
        <v>7.84</v>
      </c>
      <c r="I28" s="12">
        <v>0</v>
      </c>
    </row>
    <row r="29" spans="2:9" ht="15" customHeight="1" x14ac:dyDescent="0.2">
      <c r="B29" t="s">
        <v>76</v>
      </c>
      <c r="C29" s="12">
        <v>407</v>
      </c>
      <c r="D29" s="8">
        <v>4.2300000000000004</v>
      </c>
      <c r="E29" s="12">
        <v>53</v>
      </c>
      <c r="F29" s="8">
        <v>1.0900000000000001</v>
      </c>
      <c r="G29" s="12">
        <v>354</v>
      </c>
      <c r="H29" s="8">
        <v>7.6</v>
      </c>
      <c r="I29" s="12">
        <v>0</v>
      </c>
    </row>
    <row r="30" spans="2:9" ht="15" customHeight="1" x14ac:dyDescent="0.2">
      <c r="B30" t="s">
        <v>81</v>
      </c>
      <c r="C30" s="12">
        <v>389</v>
      </c>
      <c r="D30" s="8">
        <v>4.05</v>
      </c>
      <c r="E30" s="12">
        <v>274</v>
      </c>
      <c r="F30" s="8">
        <v>5.66</v>
      </c>
      <c r="G30" s="12">
        <v>115</v>
      </c>
      <c r="H30" s="8">
        <v>2.4700000000000002</v>
      </c>
      <c r="I30" s="12">
        <v>0</v>
      </c>
    </row>
    <row r="31" spans="2:9" ht="15" customHeight="1" x14ac:dyDescent="0.2">
      <c r="B31" t="s">
        <v>75</v>
      </c>
      <c r="C31" s="12">
        <v>370</v>
      </c>
      <c r="D31" s="8">
        <v>3.85</v>
      </c>
      <c r="E31" s="12">
        <v>87</v>
      </c>
      <c r="F31" s="8">
        <v>1.8</v>
      </c>
      <c r="G31" s="12">
        <v>283</v>
      </c>
      <c r="H31" s="8">
        <v>6.08</v>
      </c>
      <c r="I31" s="12">
        <v>0</v>
      </c>
    </row>
    <row r="32" spans="2:9" ht="15" customHeight="1" x14ac:dyDescent="0.2">
      <c r="B32" t="s">
        <v>92</v>
      </c>
      <c r="C32" s="12">
        <v>370</v>
      </c>
      <c r="D32" s="8">
        <v>3.85</v>
      </c>
      <c r="E32" s="12">
        <v>325</v>
      </c>
      <c r="F32" s="8">
        <v>6.71</v>
      </c>
      <c r="G32" s="12">
        <v>45</v>
      </c>
      <c r="H32" s="8">
        <v>0.97</v>
      </c>
      <c r="I32" s="12">
        <v>0</v>
      </c>
    </row>
    <row r="33" spans="2:9" ht="15" customHeight="1" x14ac:dyDescent="0.2">
      <c r="B33" t="s">
        <v>91</v>
      </c>
      <c r="C33" s="12">
        <v>314</v>
      </c>
      <c r="D33" s="8">
        <v>3.27</v>
      </c>
      <c r="E33" s="12">
        <v>240</v>
      </c>
      <c r="F33" s="8">
        <v>4.95</v>
      </c>
      <c r="G33" s="12">
        <v>72</v>
      </c>
      <c r="H33" s="8">
        <v>1.55</v>
      </c>
      <c r="I33" s="12">
        <v>1</v>
      </c>
    </row>
    <row r="34" spans="2:9" ht="15" customHeight="1" x14ac:dyDescent="0.2">
      <c r="B34" t="s">
        <v>86</v>
      </c>
      <c r="C34" s="12">
        <v>280</v>
      </c>
      <c r="D34" s="8">
        <v>2.91</v>
      </c>
      <c r="E34" s="12">
        <v>186</v>
      </c>
      <c r="F34" s="8">
        <v>3.84</v>
      </c>
      <c r="G34" s="12">
        <v>92</v>
      </c>
      <c r="H34" s="8">
        <v>1.98</v>
      </c>
      <c r="I34" s="12">
        <v>2</v>
      </c>
    </row>
    <row r="35" spans="2:9" ht="15" customHeight="1" x14ac:dyDescent="0.2">
      <c r="B35" t="s">
        <v>82</v>
      </c>
      <c r="C35" s="12">
        <v>251</v>
      </c>
      <c r="D35" s="8">
        <v>2.61</v>
      </c>
      <c r="E35" s="12">
        <v>161</v>
      </c>
      <c r="F35" s="8">
        <v>3.32</v>
      </c>
      <c r="G35" s="12">
        <v>90</v>
      </c>
      <c r="H35" s="8">
        <v>1.93</v>
      </c>
      <c r="I35" s="12">
        <v>0</v>
      </c>
    </row>
    <row r="36" spans="2:9" ht="15" customHeight="1" x14ac:dyDescent="0.2">
      <c r="B36" t="s">
        <v>93</v>
      </c>
      <c r="C36" s="12">
        <v>237</v>
      </c>
      <c r="D36" s="8">
        <v>2.4700000000000002</v>
      </c>
      <c r="E36" s="12">
        <v>1</v>
      </c>
      <c r="F36" s="8">
        <v>0.02</v>
      </c>
      <c r="G36" s="12">
        <v>139</v>
      </c>
      <c r="H36" s="8">
        <v>2.98</v>
      </c>
      <c r="I36" s="12">
        <v>2</v>
      </c>
    </row>
    <row r="37" spans="2:9" ht="15" customHeight="1" x14ac:dyDescent="0.2">
      <c r="B37" t="s">
        <v>80</v>
      </c>
      <c r="C37" s="12">
        <v>233</v>
      </c>
      <c r="D37" s="8">
        <v>2.42</v>
      </c>
      <c r="E37" s="12">
        <v>124</v>
      </c>
      <c r="F37" s="8">
        <v>2.56</v>
      </c>
      <c r="G37" s="12">
        <v>109</v>
      </c>
      <c r="H37" s="8">
        <v>2.34</v>
      </c>
      <c r="I37" s="12">
        <v>0</v>
      </c>
    </row>
    <row r="38" spans="2:9" ht="15" customHeight="1" x14ac:dyDescent="0.2">
      <c r="B38" t="s">
        <v>77</v>
      </c>
      <c r="C38" s="12">
        <v>215</v>
      </c>
      <c r="D38" s="8">
        <v>2.2400000000000002</v>
      </c>
      <c r="E38" s="12">
        <v>73</v>
      </c>
      <c r="F38" s="8">
        <v>1.51</v>
      </c>
      <c r="G38" s="12">
        <v>142</v>
      </c>
      <c r="H38" s="8">
        <v>3.05</v>
      </c>
      <c r="I38" s="12">
        <v>0</v>
      </c>
    </row>
    <row r="39" spans="2:9" ht="15" customHeight="1" x14ac:dyDescent="0.2">
      <c r="B39" t="s">
        <v>84</v>
      </c>
      <c r="C39" s="12">
        <v>194</v>
      </c>
      <c r="D39" s="8">
        <v>2.02</v>
      </c>
      <c r="E39" s="12">
        <v>39</v>
      </c>
      <c r="F39" s="8">
        <v>0.8</v>
      </c>
      <c r="G39" s="12">
        <v>155</v>
      </c>
      <c r="H39" s="8">
        <v>3.33</v>
      </c>
      <c r="I39" s="12">
        <v>0</v>
      </c>
    </row>
    <row r="40" spans="2:9" ht="15" customHeight="1" x14ac:dyDescent="0.2">
      <c r="B40" t="s">
        <v>100</v>
      </c>
      <c r="C40" s="12">
        <v>170</v>
      </c>
      <c r="D40" s="8">
        <v>1.77</v>
      </c>
      <c r="E40" s="12">
        <v>49</v>
      </c>
      <c r="F40" s="8">
        <v>1.01</v>
      </c>
      <c r="G40" s="12">
        <v>121</v>
      </c>
      <c r="H40" s="8">
        <v>2.6</v>
      </c>
      <c r="I40" s="12">
        <v>0</v>
      </c>
    </row>
    <row r="41" spans="2:9" ht="15" customHeight="1" x14ac:dyDescent="0.2">
      <c r="B41" t="s">
        <v>78</v>
      </c>
      <c r="C41" s="12">
        <v>130</v>
      </c>
      <c r="D41" s="8">
        <v>1.35</v>
      </c>
      <c r="E41" s="12">
        <v>13</v>
      </c>
      <c r="F41" s="8">
        <v>0.27</v>
      </c>
      <c r="G41" s="12">
        <v>117</v>
      </c>
      <c r="H41" s="8">
        <v>2.5099999999999998</v>
      </c>
      <c r="I41" s="12">
        <v>0</v>
      </c>
    </row>
    <row r="42" spans="2:9" ht="15" customHeight="1" x14ac:dyDescent="0.2">
      <c r="B42" t="s">
        <v>90</v>
      </c>
      <c r="C42" s="12">
        <v>124</v>
      </c>
      <c r="D42" s="8">
        <v>1.29</v>
      </c>
      <c r="E42" s="12">
        <v>62</v>
      </c>
      <c r="F42" s="8">
        <v>1.28</v>
      </c>
      <c r="G42" s="12">
        <v>62</v>
      </c>
      <c r="H42" s="8">
        <v>1.33</v>
      </c>
      <c r="I42" s="12">
        <v>0</v>
      </c>
    </row>
    <row r="43" spans="2:9" ht="15" customHeight="1" x14ac:dyDescent="0.2">
      <c r="B43" t="s">
        <v>87</v>
      </c>
      <c r="C43" s="12">
        <v>121</v>
      </c>
      <c r="D43" s="8">
        <v>1.26</v>
      </c>
      <c r="E43" s="12">
        <v>50</v>
      </c>
      <c r="F43" s="8">
        <v>1.03</v>
      </c>
      <c r="G43" s="12">
        <v>70</v>
      </c>
      <c r="H43" s="8">
        <v>1.5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132</v>
      </c>
      <c r="C47" s="12">
        <v>507</v>
      </c>
      <c r="D47" s="8">
        <v>5.28</v>
      </c>
      <c r="E47" s="12">
        <v>154</v>
      </c>
      <c r="F47" s="8">
        <v>3.18</v>
      </c>
      <c r="G47" s="12">
        <v>352</v>
      </c>
      <c r="H47" s="8">
        <v>7.56</v>
      </c>
      <c r="I47" s="12">
        <v>1</v>
      </c>
    </row>
    <row r="48" spans="2:9" ht="15" customHeight="1" x14ac:dyDescent="0.2">
      <c r="B48" t="s">
        <v>138</v>
      </c>
      <c r="C48" s="12">
        <v>449</v>
      </c>
      <c r="D48" s="8">
        <v>4.67</v>
      </c>
      <c r="E48" s="12">
        <v>393</v>
      </c>
      <c r="F48" s="8">
        <v>8.11</v>
      </c>
      <c r="G48" s="12">
        <v>56</v>
      </c>
      <c r="H48" s="8">
        <v>1.2</v>
      </c>
      <c r="I48" s="12">
        <v>0</v>
      </c>
    </row>
    <row r="49" spans="2:9" ht="15" customHeight="1" x14ac:dyDescent="0.2">
      <c r="B49" t="s">
        <v>134</v>
      </c>
      <c r="C49" s="12">
        <v>343</v>
      </c>
      <c r="D49" s="8">
        <v>3.57</v>
      </c>
      <c r="E49" s="12">
        <v>323</v>
      </c>
      <c r="F49" s="8">
        <v>6.67</v>
      </c>
      <c r="G49" s="12">
        <v>20</v>
      </c>
      <c r="H49" s="8">
        <v>0.43</v>
      </c>
      <c r="I49" s="12">
        <v>0</v>
      </c>
    </row>
    <row r="50" spans="2:9" ht="15" customHeight="1" x14ac:dyDescent="0.2">
      <c r="B50" t="s">
        <v>136</v>
      </c>
      <c r="C50" s="12">
        <v>300</v>
      </c>
      <c r="D50" s="8">
        <v>3.12</v>
      </c>
      <c r="E50" s="12">
        <v>288</v>
      </c>
      <c r="F50" s="8">
        <v>5.94</v>
      </c>
      <c r="G50" s="12">
        <v>11</v>
      </c>
      <c r="H50" s="8">
        <v>0.24</v>
      </c>
      <c r="I50" s="12">
        <v>1</v>
      </c>
    </row>
    <row r="51" spans="2:9" ht="15" customHeight="1" x14ac:dyDescent="0.2">
      <c r="B51" t="s">
        <v>141</v>
      </c>
      <c r="C51" s="12">
        <v>287</v>
      </c>
      <c r="D51" s="8">
        <v>2.99</v>
      </c>
      <c r="E51" s="12">
        <v>256</v>
      </c>
      <c r="F51" s="8">
        <v>5.28</v>
      </c>
      <c r="G51" s="12">
        <v>31</v>
      </c>
      <c r="H51" s="8">
        <v>0.67</v>
      </c>
      <c r="I51" s="12">
        <v>0</v>
      </c>
    </row>
    <row r="52" spans="2:9" ht="15" customHeight="1" x14ac:dyDescent="0.2">
      <c r="B52" t="s">
        <v>137</v>
      </c>
      <c r="C52" s="12">
        <v>235</v>
      </c>
      <c r="D52" s="8">
        <v>2.4500000000000002</v>
      </c>
      <c r="E52" s="12">
        <v>227</v>
      </c>
      <c r="F52" s="8">
        <v>4.6900000000000004</v>
      </c>
      <c r="G52" s="12">
        <v>8</v>
      </c>
      <c r="H52" s="8">
        <v>0.17</v>
      </c>
      <c r="I52" s="12">
        <v>0</v>
      </c>
    </row>
    <row r="53" spans="2:9" ht="15" customHeight="1" x14ac:dyDescent="0.2">
      <c r="B53" t="s">
        <v>133</v>
      </c>
      <c r="C53" s="12">
        <v>227</v>
      </c>
      <c r="D53" s="8">
        <v>2.36</v>
      </c>
      <c r="E53" s="12">
        <v>202</v>
      </c>
      <c r="F53" s="8">
        <v>4.17</v>
      </c>
      <c r="G53" s="12">
        <v>25</v>
      </c>
      <c r="H53" s="8">
        <v>0.54</v>
      </c>
      <c r="I53" s="12">
        <v>0</v>
      </c>
    </row>
    <row r="54" spans="2:9" ht="15" customHeight="1" x14ac:dyDescent="0.2">
      <c r="B54" t="s">
        <v>135</v>
      </c>
      <c r="C54" s="12">
        <v>226</v>
      </c>
      <c r="D54" s="8">
        <v>2.35</v>
      </c>
      <c r="E54" s="12">
        <v>218</v>
      </c>
      <c r="F54" s="8">
        <v>4.5</v>
      </c>
      <c r="G54" s="12">
        <v>8</v>
      </c>
      <c r="H54" s="8">
        <v>0.17</v>
      </c>
      <c r="I54" s="12">
        <v>0</v>
      </c>
    </row>
    <row r="55" spans="2:9" ht="15" customHeight="1" x14ac:dyDescent="0.2">
      <c r="B55" t="s">
        <v>140</v>
      </c>
      <c r="C55" s="12">
        <v>213</v>
      </c>
      <c r="D55" s="8">
        <v>2.2200000000000002</v>
      </c>
      <c r="E55" s="12">
        <v>176</v>
      </c>
      <c r="F55" s="8">
        <v>3.63</v>
      </c>
      <c r="G55" s="12">
        <v>36</v>
      </c>
      <c r="H55" s="8">
        <v>0.77</v>
      </c>
      <c r="I55" s="12">
        <v>1</v>
      </c>
    </row>
    <row r="56" spans="2:9" ht="15" customHeight="1" x14ac:dyDescent="0.2">
      <c r="B56" t="s">
        <v>129</v>
      </c>
      <c r="C56" s="12">
        <v>208</v>
      </c>
      <c r="D56" s="8">
        <v>2.16</v>
      </c>
      <c r="E56" s="12">
        <v>159</v>
      </c>
      <c r="F56" s="8">
        <v>3.28</v>
      </c>
      <c r="G56" s="12">
        <v>49</v>
      </c>
      <c r="H56" s="8">
        <v>1.05</v>
      </c>
      <c r="I56" s="12">
        <v>0</v>
      </c>
    </row>
    <row r="57" spans="2:9" ht="15" customHeight="1" x14ac:dyDescent="0.2">
      <c r="B57" t="s">
        <v>143</v>
      </c>
      <c r="C57" s="12">
        <v>171</v>
      </c>
      <c r="D57" s="8">
        <v>1.78</v>
      </c>
      <c r="E57" s="12">
        <v>14</v>
      </c>
      <c r="F57" s="8">
        <v>0.28999999999999998</v>
      </c>
      <c r="G57" s="12">
        <v>157</v>
      </c>
      <c r="H57" s="8">
        <v>3.37</v>
      </c>
      <c r="I57" s="12">
        <v>0</v>
      </c>
    </row>
    <row r="58" spans="2:9" ht="15" customHeight="1" x14ac:dyDescent="0.2">
      <c r="B58" t="s">
        <v>159</v>
      </c>
      <c r="C58" s="12">
        <v>168</v>
      </c>
      <c r="D58" s="8">
        <v>1.75</v>
      </c>
      <c r="E58" s="12">
        <v>23</v>
      </c>
      <c r="F58" s="8">
        <v>0.47</v>
      </c>
      <c r="G58" s="12">
        <v>145</v>
      </c>
      <c r="H58" s="8">
        <v>3.11</v>
      </c>
      <c r="I58" s="12">
        <v>0</v>
      </c>
    </row>
    <row r="59" spans="2:9" ht="15" customHeight="1" x14ac:dyDescent="0.2">
      <c r="B59" t="s">
        <v>126</v>
      </c>
      <c r="C59" s="12">
        <v>154</v>
      </c>
      <c r="D59" s="8">
        <v>1.6</v>
      </c>
      <c r="E59" s="12">
        <v>104</v>
      </c>
      <c r="F59" s="8">
        <v>2.15</v>
      </c>
      <c r="G59" s="12">
        <v>50</v>
      </c>
      <c r="H59" s="8">
        <v>1.07</v>
      </c>
      <c r="I59" s="12">
        <v>0</v>
      </c>
    </row>
    <row r="60" spans="2:9" ht="15" customHeight="1" x14ac:dyDescent="0.2">
      <c r="B60" t="s">
        <v>124</v>
      </c>
      <c r="C60" s="12">
        <v>143</v>
      </c>
      <c r="D60" s="8">
        <v>1.49</v>
      </c>
      <c r="E60" s="12">
        <v>24</v>
      </c>
      <c r="F60" s="8">
        <v>0.5</v>
      </c>
      <c r="G60" s="12">
        <v>119</v>
      </c>
      <c r="H60" s="8">
        <v>2.56</v>
      </c>
      <c r="I60" s="12">
        <v>0</v>
      </c>
    </row>
    <row r="61" spans="2:9" ht="15" customHeight="1" x14ac:dyDescent="0.2">
      <c r="B61" t="s">
        <v>130</v>
      </c>
      <c r="C61" s="12">
        <v>140</v>
      </c>
      <c r="D61" s="8">
        <v>1.46</v>
      </c>
      <c r="E61" s="12">
        <v>32</v>
      </c>
      <c r="F61" s="8">
        <v>0.66</v>
      </c>
      <c r="G61" s="12">
        <v>108</v>
      </c>
      <c r="H61" s="8">
        <v>2.3199999999999998</v>
      </c>
      <c r="I61" s="12">
        <v>0</v>
      </c>
    </row>
    <row r="62" spans="2:9" ht="15" customHeight="1" x14ac:dyDescent="0.2">
      <c r="B62" t="s">
        <v>122</v>
      </c>
      <c r="C62" s="12">
        <v>138</v>
      </c>
      <c r="D62" s="8">
        <v>1.44</v>
      </c>
      <c r="E62" s="12">
        <v>22</v>
      </c>
      <c r="F62" s="8">
        <v>0.45</v>
      </c>
      <c r="G62" s="12">
        <v>116</v>
      </c>
      <c r="H62" s="8">
        <v>2.4900000000000002</v>
      </c>
      <c r="I62" s="12">
        <v>0</v>
      </c>
    </row>
    <row r="63" spans="2:9" ht="15" customHeight="1" x14ac:dyDescent="0.2">
      <c r="B63" t="s">
        <v>123</v>
      </c>
      <c r="C63" s="12">
        <v>136</v>
      </c>
      <c r="D63" s="8">
        <v>1.42</v>
      </c>
      <c r="E63" s="12">
        <v>16</v>
      </c>
      <c r="F63" s="8">
        <v>0.33</v>
      </c>
      <c r="G63" s="12">
        <v>120</v>
      </c>
      <c r="H63" s="8">
        <v>2.58</v>
      </c>
      <c r="I63" s="12">
        <v>0</v>
      </c>
    </row>
    <row r="64" spans="2:9" ht="15" customHeight="1" x14ac:dyDescent="0.2">
      <c r="B64" t="s">
        <v>145</v>
      </c>
      <c r="C64" s="12">
        <v>135</v>
      </c>
      <c r="D64" s="8">
        <v>1.4</v>
      </c>
      <c r="E64" s="12">
        <v>129</v>
      </c>
      <c r="F64" s="8">
        <v>2.66</v>
      </c>
      <c r="G64" s="12">
        <v>6</v>
      </c>
      <c r="H64" s="8">
        <v>0.13</v>
      </c>
      <c r="I64" s="12">
        <v>0</v>
      </c>
    </row>
    <row r="65" spans="2:9" ht="15" customHeight="1" x14ac:dyDescent="0.2">
      <c r="B65" t="s">
        <v>127</v>
      </c>
      <c r="C65" s="12">
        <v>117</v>
      </c>
      <c r="D65" s="8">
        <v>1.22</v>
      </c>
      <c r="E65" s="12">
        <v>73</v>
      </c>
      <c r="F65" s="8">
        <v>1.51</v>
      </c>
      <c r="G65" s="12">
        <v>44</v>
      </c>
      <c r="H65" s="8">
        <v>0.94</v>
      </c>
      <c r="I65" s="12">
        <v>0</v>
      </c>
    </row>
    <row r="66" spans="2:9" ht="15" customHeight="1" x14ac:dyDescent="0.2">
      <c r="B66" t="s">
        <v>131</v>
      </c>
      <c r="C66" s="12">
        <v>116</v>
      </c>
      <c r="D66" s="8">
        <v>1.21</v>
      </c>
      <c r="E66" s="12">
        <v>12</v>
      </c>
      <c r="F66" s="8">
        <v>0.25</v>
      </c>
      <c r="G66" s="12">
        <v>104</v>
      </c>
      <c r="H66" s="8">
        <v>2.23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8A20-9362-49C4-B13F-1814E6C034E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231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393</v>
      </c>
      <c r="D6" s="8">
        <v>8.61</v>
      </c>
      <c r="E6" s="12">
        <v>98</v>
      </c>
      <c r="F6" s="8">
        <v>3.94</v>
      </c>
      <c r="G6" s="12">
        <v>295</v>
      </c>
      <c r="H6" s="8">
        <v>14.43</v>
      </c>
      <c r="I6" s="12">
        <v>0</v>
      </c>
    </row>
    <row r="7" spans="2:9" ht="15" customHeight="1" x14ac:dyDescent="0.2">
      <c r="B7" t="s">
        <v>53</v>
      </c>
      <c r="C7" s="12">
        <v>270</v>
      </c>
      <c r="D7" s="8">
        <v>5.92</v>
      </c>
      <c r="E7" s="12">
        <v>89</v>
      </c>
      <c r="F7" s="8">
        <v>3.58</v>
      </c>
      <c r="G7" s="12">
        <v>181</v>
      </c>
      <c r="H7" s="8">
        <v>8.86</v>
      </c>
      <c r="I7" s="12">
        <v>0</v>
      </c>
    </row>
    <row r="8" spans="2:9" ht="15" customHeight="1" x14ac:dyDescent="0.2">
      <c r="B8" t="s">
        <v>54</v>
      </c>
      <c r="C8" s="12">
        <v>4</v>
      </c>
      <c r="D8" s="8">
        <v>0.09</v>
      </c>
      <c r="E8" s="12">
        <v>0</v>
      </c>
      <c r="F8" s="8">
        <v>0</v>
      </c>
      <c r="G8" s="12">
        <v>4</v>
      </c>
      <c r="H8" s="8">
        <v>0.2</v>
      </c>
      <c r="I8" s="12">
        <v>0</v>
      </c>
    </row>
    <row r="9" spans="2:9" ht="15" customHeight="1" x14ac:dyDescent="0.2">
      <c r="B9" t="s">
        <v>55</v>
      </c>
      <c r="C9" s="12">
        <v>37</v>
      </c>
      <c r="D9" s="8">
        <v>0.81</v>
      </c>
      <c r="E9" s="12">
        <v>2</v>
      </c>
      <c r="F9" s="8">
        <v>0.08</v>
      </c>
      <c r="G9" s="12">
        <v>35</v>
      </c>
      <c r="H9" s="8">
        <v>1.71</v>
      </c>
      <c r="I9" s="12">
        <v>0</v>
      </c>
    </row>
    <row r="10" spans="2:9" ht="15" customHeight="1" x14ac:dyDescent="0.2">
      <c r="B10" t="s">
        <v>56</v>
      </c>
      <c r="C10" s="12">
        <v>42</v>
      </c>
      <c r="D10" s="8">
        <v>0.92</v>
      </c>
      <c r="E10" s="12">
        <v>4</v>
      </c>
      <c r="F10" s="8">
        <v>0.16</v>
      </c>
      <c r="G10" s="12">
        <v>38</v>
      </c>
      <c r="H10" s="8">
        <v>1.86</v>
      </c>
      <c r="I10" s="12">
        <v>0</v>
      </c>
    </row>
    <row r="11" spans="2:9" ht="15" customHeight="1" x14ac:dyDescent="0.2">
      <c r="B11" t="s">
        <v>57</v>
      </c>
      <c r="C11" s="12">
        <v>1038</v>
      </c>
      <c r="D11" s="8">
        <v>22.75</v>
      </c>
      <c r="E11" s="12">
        <v>535</v>
      </c>
      <c r="F11" s="8">
        <v>21.49</v>
      </c>
      <c r="G11" s="12">
        <v>502</v>
      </c>
      <c r="H11" s="8">
        <v>24.56</v>
      </c>
      <c r="I11" s="12">
        <v>1</v>
      </c>
    </row>
    <row r="12" spans="2:9" ht="15" customHeight="1" x14ac:dyDescent="0.2">
      <c r="B12" t="s">
        <v>58</v>
      </c>
      <c r="C12" s="12">
        <v>30</v>
      </c>
      <c r="D12" s="8">
        <v>0.66</v>
      </c>
      <c r="E12" s="12">
        <v>6</v>
      </c>
      <c r="F12" s="8">
        <v>0.24</v>
      </c>
      <c r="G12" s="12">
        <v>24</v>
      </c>
      <c r="H12" s="8">
        <v>1.17</v>
      </c>
      <c r="I12" s="12">
        <v>0</v>
      </c>
    </row>
    <row r="13" spans="2:9" ht="15" customHeight="1" x14ac:dyDescent="0.2">
      <c r="B13" t="s">
        <v>59</v>
      </c>
      <c r="C13" s="12">
        <v>474</v>
      </c>
      <c r="D13" s="8">
        <v>10.39</v>
      </c>
      <c r="E13" s="12">
        <v>83</v>
      </c>
      <c r="F13" s="8">
        <v>3.33</v>
      </c>
      <c r="G13" s="12">
        <v>390</v>
      </c>
      <c r="H13" s="8">
        <v>19.079999999999998</v>
      </c>
      <c r="I13" s="12">
        <v>0</v>
      </c>
    </row>
    <row r="14" spans="2:9" ht="15" customHeight="1" x14ac:dyDescent="0.2">
      <c r="B14" t="s">
        <v>60</v>
      </c>
      <c r="C14" s="12">
        <v>265</v>
      </c>
      <c r="D14" s="8">
        <v>5.81</v>
      </c>
      <c r="E14" s="12">
        <v>152</v>
      </c>
      <c r="F14" s="8">
        <v>6.11</v>
      </c>
      <c r="G14" s="12">
        <v>112</v>
      </c>
      <c r="H14" s="8">
        <v>5.48</v>
      </c>
      <c r="I14" s="12">
        <v>0</v>
      </c>
    </row>
    <row r="15" spans="2:9" ht="15" customHeight="1" x14ac:dyDescent="0.2">
      <c r="B15" t="s">
        <v>61</v>
      </c>
      <c r="C15" s="12">
        <v>661</v>
      </c>
      <c r="D15" s="8">
        <v>14.49</v>
      </c>
      <c r="E15" s="12">
        <v>588</v>
      </c>
      <c r="F15" s="8">
        <v>23.62</v>
      </c>
      <c r="G15" s="12">
        <v>71</v>
      </c>
      <c r="H15" s="8">
        <v>3.47</v>
      </c>
      <c r="I15" s="12">
        <v>0</v>
      </c>
    </row>
    <row r="16" spans="2:9" ht="15" customHeight="1" x14ac:dyDescent="0.2">
      <c r="B16" t="s">
        <v>62</v>
      </c>
      <c r="C16" s="12">
        <v>684</v>
      </c>
      <c r="D16" s="8">
        <v>14.99</v>
      </c>
      <c r="E16" s="12">
        <v>530</v>
      </c>
      <c r="F16" s="8">
        <v>21.29</v>
      </c>
      <c r="G16" s="12">
        <v>150</v>
      </c>
      <c r="H16" s="8">
        <v>7.34</v>
      </c>
      <c r="I16" s="12">
        <v>0</v>
      </c>
    </row>
    <row r="17" spans="2:9" ht="15" customHeight="1" x14ac:dyDescent="0.2">
      <c r="B17" t="s">
        <v>63</v>
      </c>
      <c r="C17" s="12">
        <v>238</v>
      </c>
      <c r="D17" s="8">
        <v>5.22</v>
      </c>
      <c r="E17" s="12">
        <v>188</v>
      </c>
      <c r="F17" s="8">
        <v>7.55</v>
      </c>
      <c r="G17" s="12">
        <v>49</v>
      </c>
      <c r="H17" s="8">
        <v>2.4</v>
      </c>
      <c r="I17" s="12">
        <v>1</v>
      </c>
    </row>
    <row r="18" spans="2:9" ht="15" customHeight="1" x14ac:dyDescent="0.2">
      <c r="B18" t="s">
        <v>64</v>
      </c>
      <c r="C18" s="12">
        <v>273</v>
      </c>
      <c r="D18" s="8">
        <v>5.98</v>
      </c>
      <c r="E18" s="12">
        <v>165</v>
      </c>
      <c r="F18" s="8">
        <v>6.63</v>
      </c>
      <c r="G18" s="12">
        <v>103</v>
      </c>
      <c r="H18" s="8">
        <v>5.04</v>
      </c>
      <c r="I18" s="12">
        <v>0</v>
      </c>
    </row>
    <row r="19" spans="2:9" ht="15" customHeight="1" x14ac:dyDescent="0.2">
      <c r="B19" t="s">
        <v>65</v>
      </c>
      <c r="C19" s="12">
        <v>153</v>
      </c>
      <c r="D19" s="8">
        <v>3.35</v>
      </c>
      <c r="E19" s="12">
        <v>49</v>
      </c>
      <c r="F19" s="8">
        <v>1.97</v>
      </c>
      <c r="G19" s="12">
        <v>90</v>
      </c>
      <c r="H19" s="8">
        <v>4.4000000000000004</v>
      </c>
      <c r="I19" s="12">
        <v>3</v>
      </c>
    </row>
    <row r="20" spans="2:9" ht="15" customHeight="1" x14ac:dyDescent="0.2">
      <c r="B20" s="9" t="s">
        <v>215</v>
      </c>
      <c r="C20" s="12">
        <f>SUM(LTBL_28203[総数／事業所数])</f>
        <v>4562</v>
      </c>
      <c r="E20" s="12">
        <f>SUBTOTAL(109,LTBL_28203[個人／事業所数])</f>
        <v>2489</v>
      </c>
      <c r="G20" s="12">
        <f>SUBTOTAL(109,LTBL_28203[法人／事業所数])</f>
        <v>2044</v>
      </c>
      <c r="I20" s="12">
        <f>SUBTOTAL(109,LTBL_28203[法人以外の団体／事業所数])</f>
        <v>5</v>
      </c>
    </row>
    <row r="21" spans="2:9" ht="15" customHeight="1" x14ac:dyDescent="0.2">
      <c r="E21" s="11">
        <f>LTBL_28203[[#Totals],[個人／事業所数]]/LTBL_28203[[#Totals],[総数／事業所数]]</f>
        <v>0.54559403770276194</v>
      </c>
      <c r="G21" s="11">
        <f>LTBL_28203[[#Totals],[法人／事業所数]]/LTBL_28203[[#Totals],[総数／事業所数]]</f>
        <v>0.44804910127137221</v>
      </c>
      <c r="I21" s="11">
        <f>LTBL_28203[[#Totals],[法人以外の団体／事業所数]]/LTBL_28203[[#Totals],[総数／事業所数]]</f>
        <v>1.0960105217010083E-3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608</v>
      </c>
      <c r="D24" s="8">
        <v>13.33</v>
      </c>
      <c r="E24" s="12">
        <v>566</v>
      </c>
      <c r="F24" s="8">
        <v>22.74</v>
      </c>
      <c r="G24" s="12">
        <v>42</v>
      </c>
      <c r="H24" s="8">
        <v>2.0499999999999998</v>
      </c>
      <c r="I24" s="12">
        <v>0</v>
      </c>
    </row>
    <row r="25" spans="2:9" ht="15" customHeight="1" x14ac:dyDescent="0.2">
      <c r="B25" t="s">
        <v>89</v>
      </c>
      <c r="C25" s="12">
        <v>568</v>
      </c>
      <c r="D25" s="8">
        <v>12.45</v>
      </c>
      <c r="E25" s="12">
        <v>474</v>
      </c>
      <c r="F25" s="8">
        <v>19.04</v>
      </c>
      <c r="G25" s="12">
        <v>94</v>
      </c>
      <c r="H25" s="8">
        <v>4.5999999999999996</v>
      </c>
      <c r="I25" s="12">
        <v>0</v>
      </c>
    </row>
    <row r="26" spans="2:9" ht="15" customHeight="1" x14ac:dyDescent="0.2">
      <c r="B26" t="s">
        <v>85</v>
      </c>
      <c r="C26" s="12">
        <v>341</v>
      </c>
      <c r="D26" s="8">
        <v>7.47</v>
      </c>
      <c r="E26" s="12">
        <v>62</v>
      </c>
      <c r="F26" s="8">
        <v>2.4900000000000002</v>
      </c>
      <c r="G26" s="12">
        <v>278</v>
      </c>
      <c r="H26" s="8">
        <v>13.6</v>
      </c>
      <c r="I26" s="12">
        <v>0</v>
      </c>
    </row>
    <row r="27" spans="2:9" ht="15" customHeight="1" x14ac:dyDescent="0.2">
      <c r="B27" t="s">
        <v>83</v>
      </c>
      <c r="C27" s="12">
        <v>317</v>
      </c>
      <c r="D27" s="8">
        <v>6.95</v>
      </c>
      <c r="E27" s="12">
        <v>186</v>
      </c>
      <c r="F27" s="8">
        <v>7.47</v>
      </c>
      <c r="G27" s="12">
        <v>131</v>
      </c>
      <c r="H27" s="8">
        <v>6.41</v>
      </c>
      <c r="I27" s="12">
        <v>0</v>
      </c>
    </row>
    <row r="28" spans="2:9" ht="15" customHeight="1" x14ac:dyDescent="0.2">
      <c r="B28" t="s">
        <v>91</v>
      </c>
      <c r="C28" s="12">
        <v>238</v>
      </c>
      <c r="D28" s="8">
        <v>5.22</v>
      </c>
      <c r="E28" s="12">
        <v>188</v>
      </c>
      <c r="F28" s="8">
        <v>7.55</v>
      </c>
      <c r="G28" s="12">
        <v>49</v>
      </c>
      <c r="H28" s="8">
        <v>2.4</v>
      </c>
      <c r="I28" s="12">
        <v>1</v>
      </c>
    </row>
    <row r="29" spans="2:9" ht="15" customHeight="1" x14ac:dyDescent="0.2">
      <c r="B29" t="s">
        <v>81</v>
      </c>
      <c r="C29" s="12">
        <v>226</v>
      </c>
      <c r="D29" s="8">
        <v>4.95</v>
      </c>
      <c r="E29" s="12">
        <v>167</v>
      </c>
      <c r="F29" s="8">
        <v>6.71</v>
      </c>
      <c r="G29" s="12">
        <v>59</v>
      </c>
      <c r="H29" s="8">
        <v>2.89</v>
      </c>
      <c r="I29" s="12">
        <v>0</v>
      </c>
    </row>
    <row r="30" spans="2:9" ht="15" customHeight="1" x14ac:dyDescent="0.2">
      <c r="B30" t="s">
        <v>74</v>
      </c>
      <c r="C30" s="12">
        <v>192</v>
      </c>
      <c r="D30" s="8">
        <v>4.21</v>
      </c>
      <c r="E30" s="12">
        <v>41</v>
      </c>
      <c r="F30" s="8">
        <v>1.65</v>
      </c>
      <c r="G30" s="12">
        <v>151</v>
      </c>
      <c r="H30" s="8">
        <v>7.39</v>
      </c>
      <c r="I30" s="12">
        <v>0</v>
      </c>
    </row>
    <row r="31" spans="2:9" ht="15" customHeight="1" x14ac:dyDescent="0.2">
      <c r="B31" t="s">
        <v>92</v>
      </c>
      <c r="C31" s="12">
        <v>181</v>
      </c>
      <c r="D31" s="8">
        <v>3.97</v>
      </c>
      <c r="E31" s="12">
        <v>161</v>
      </c>
      <c r="F31" s="8">
        <v>6.47</v>
      </c>
      <c r="G31" s="12">
        <v>20</v>
      </c>
      <c r="H31" s="8">
        <v>0.98</v>
      </c>
      <c r="I31" s="12">
        <v>0</v>
      </c>
    </row>
    <row r="32" spans="2:9" ht="15" customHeight="1" x14ac:dyDescent="0.2">
      <c r="B32" t="s">
        <v>86</v>
      </c>
      <c r="C32" s="12">
        <v>166</v>
      </c>
      <c r="D32" s="8">
        <v>3.64</v>
      </c>
      <c r="E32" s="12">
        <v>113</v>
      </c>
      <c r="F32" s="8">
        <v>4.54</v>
      </c>
      <c r="G32" s="12">
        <v>53</v>
      </c>
      <c r="H32" s="8">
        <v>2.59</v>
      </c>
      <c r="I32" s="12">
        <v>0</v>
      </c>
    </row>
    <row r="33" spans="2:9" ht="15" customHeight="1" x14ac:dyDescent="0.2">
      <c r="B33" t="s">
        <v>82</v>
      </c>
      <c r="C33" s="12">
        <v>133</v>
      </c>
      <c r="D33" s="8">
        <v>2.92</v>
      </c>
      <c r="E33" s="12">
        <v>84</v>
      </c>
      <c r="F33" s="8">
        <v>3.37</v>
      </c>
      <c r="G33" s="12">
        <v>49</v>
      </c>
      <c r="H33" s="8">
        <v>2.4</v>
      </c>
      <c r="I33" s="12">
        <v>0</v>
      </c>
    </row>
    <row r="34" spans="2:9" ht="15" customHeight="1" x14ac:dyDescent="0.2">
      <c r="B34" t="s">
        <v>80</v>
      </c>
      <c r="C34" s="12">
        <v>121</v>
      </c>
      <c r="D34" s="8">
        <v>2.65</v>
      </c>
      <c r="E34" s="12">
        <v>53</v>
      </c>
      <c r="F34" s="8">
        <v>2.13</v>
      </c>
      <c r="G34" s="12">
        <v>68</v>
      </c>
      <c r="H34" s="8">
        <v>3.33</v>
      </c>
      <c r="I34" s="12">
        <v>0</v>
      </c>
    </row>
    <row r="35" spans="2:9" ht="15" customHeight="1" x14ac:dyDescent="0.2">
      <c r="B35" t="s">
        <v>84</v>
      </c>
      <c r="C35" s="12">
        <v>117</v>
      </c>
      <c r="D35" s="8">
        <v>2.56</v>
      </c>
      <c r="E35" s="12">
        <v>19</v>
      </c>
      <c r="F35" s="8">
        <v>0.76</v>
      </c>
      <c r="G35" s="12">
        <v>98</v>
      </c>
      <c r="H35" s="8">
        <v>4.79</v>
      </c>
      <c r="I35" s="12">
        <v>0</v>
      </c>
    </row>
    <row r="36" spans="2:9" ht="15" customHeight="1" x14ac:dyDescent="0.2">
      <c r="B36" t="s">
        <v>75</v>
      </c>
      <c r="C36" s="12">
        <v>104</v>
      </c>
      <c r="D36" s="8">
        <v>2.2799999999999998</v>
      </c>
      <c r="E36" s="12">
        <v>37</v>
      </c>
      <c r="F36" s="8">
        <v>1.49</v>
      </c>
      <c r="G36" s="12">
        <v>67</v>
      </c>
      <c r="H36" s="8">
        <v>3.28</v>
      </c>
      <c r="I36" s="12">
        <v>0</v>
      </c>
    </row>
    <row r="37" spans="2:9" ht="15" customHeight="1" x14ac:dyDescent="0.2">
      <c r="B37" t="s">
        <v>76</v>
      </c>
      <c r="C37" s="12">
        <v>97</v>
      </c>
      <c r="D37" s="8">
        <v>2.13</v>
      </c>
      <c r="E37" s="12">
        <v>20</v>
      </c>
      <c r="F37" s="8">
        <v>0.8</v>
      </c>
      <c r="G37" s="12">
        <v>77</v>
      </c>
      <c r="H37" s="8">
        <v>3.77</v>
      </c>
      <c r="I37" s="12">
        <v>0</v>
      </c>
    </row>
    <row r="38" spans="2:9" ht="15" customHeight="1" x14ac:dyDescent="0.2">
      <c r="B38" t="s">
        <v>93</v>
      </c>
      <c r="C38" s="12">
        <v>92</v>
      </c>
      <c r="D38" s="8">
        <v>2.02</v>
      </c>
      <c r="E38" s="12">
        <v>4</v>
      </c>
      <c r="F38" s="8">
        <v>0.16</v>
      </c>
      <c r="G38" s="12">
        <v>83</v>
      </c>
      <c r="H38" s="8">
        <v>4.0599999999999996</v>
      </c>
      <c r="I38" s="12">
        <v>0</v>
      </c>
    </row>
    <row r="39" spans="2:9" ht="15" customHeight="1" x14ac:dyDescent="0.2">
      <c r="B39" t="s">
        <v>87</v>
      </c>
      <c r="C39" s="12">
        <v>86</v>
      </c>
      <c r="D39" s="8">
        <v>1.89</v>
      </c>
      <c r="E39" s="12">
        <v>35</v>
      </c>
      <c r="F39" s="8">
        <v>1.41</v>
      </c>
      <c r="G39" s="12">
        <v>50</v>
      </c>
      <c r="H39" s="8">
        <v>2.4500000000000002</v>
      </c>
      <c r="I39" s="12">
        <v>0</v>
      </c>
    </row>
    <row r="40" spans="2:9" ht="15" customHeight="1" x14ac:dyDescent="0.2">
      <c r="B40" t="s">
        <v>90</v>
      </c>
      <c r="C40" s="12">
        <v>85</v>
      </c>
      <c r="D40" s="8">
        <v>1.86</v>
      </c>
      <c r="E40" s="12">
        <v>33</v>
      </c>
      <c r="F40" s="8">
        <v>1.33</v>
      </c>
      <c r="G40" s="12">
        <v>48</v>
      </c>
      <c r="H40" s="8">
        <v>2.35</v>
      </c>
      <c r="I40" s="12">
        <v>0</v>
      </c>
    </row>
    <row r="41" spans="2:9" ht="15" customHeight="1" x14ac:dyDescent="0.2">
      <c r="B41" t="s">
        <v>78</v>
      </c>
      <c r="C41" s="12">
        <v>62</v>
      </c>
      <c r="D41" s="8">
        <v>1.36</v>
      </c>
      <c r="E41" s="12">
        <v>8</v>
      </c>
      <c r="F41" s="8">
        <v>0.32</v>
      </c>
      <c r="G41" s="12">
        <v>54</v>
      </c>
      <c r="H41" s="8">
        <v>2.64</v>
      </c>
      <c r="I41" s="12">
        <v>0</v>
      </c>
    </row>
    <row r="42" spans="2:9" ht="15" customHeight="1" x14ac:dyDescent="0.2">
      <c r="B42" t="s">
        <v>79</v>
      </c>
      <c r="C42" s="12">
        <v>56</v>
      </c>
      <c r="D42" s="8">
        <v>1.23</v>
      </c>
      <c r="E42" s="12">
        <v>7</v>
      </c>
      <c r="F42" s="8">
        <v>0.28000000000000003</v>
      </c>
      <c r="G42" s="12">
        <v>49</v>
      </c>
      <c r="H42" s="8">
        <v>2.4</v>
      </c>
      <c r="I42" s="12">
        <v>0</v>
      </c>
    </row>
    <row r="43" spans="2:9" ht="15" customHeight="1" x14ac:dyDescent="0.2">
      <c r="B43" t="s">
        <v>94</v>
      </c>
      <c r="C43" s="12">
        <v>53</v>
      </c>
      <c r="D43" s="8">
        <v>1.1599999999999999</v>
      </c>
      <c r="E43" s="12">
        <v>4</v>
      </c>
      <c r="F43" s="8">
        <v>0.16</v>
      </c>
      <c r="G43" s="12">
        <v>47</v>
      </c>
      <c r="H43" s="8">
        <v>2.2999999999999998</v>
      </c>
      <c r="I43" s="12">
        <v>2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300</v>
      </c>
      <c r="D47" s="8">
        <v>6.58</v>
      </c>
      <c r="E47" s="12">
        <v>266</v>
      </c>
      <c r="F47" s="8">
        <v>10.69</v>
      </c>
      <c r="G47" s="12">
        <v>34</v>
      </c>
      <c r="H47" s="8">
        <v>1.66</v>
      </c>
      <c r="I47" s="12">
        <v>0</v>
      </c>
    </row>
    <row r="48" spans="2:9" ht="15" customHeight="1" x14ac:dyDescent="0.2">
      <c r="B48" t="s">
        <v>140</v>
      </c>
      <c r="C48" s="12">
        <v>154</v>
      </c>
      <c r="D48" s="8">
        <v>3.38</v>
      </c>
      <c r="E48" s="12">
        <v>128</v>
      </c>
      <c r="F48" s="8">
        <v>5.14</v>
      </c>
      <c r="G48" s="12">
        <v>25</v>
      </c>
      <c r="H48" s="8">
        <v>1.22</v>
      </c>
      <c r="I48" s="12">
        <v>1</v>
      </c>
    </row>
    <row r="49" spans="2:9" ht="15" customHeight="1" x14ac:dyDescent="0.2">
      <c r="B49" t="s">
        <v>132</v>
      </c>
      <c r="C49" s="12">
        <v>152</v>
      </c>
      <c r="D49" s="8">
        <v>3.33</v>
      </c>
      <c r="E49" s="12">
        <v>19</v>
      </c>
      <c r="F49" s="8">
        <v>0.76</v>
      </c>
      <c r="G49" s="12">
        <v>132</v>
      </c>
      <c r="H49" s="8">
        <v>6.46</v>
      </c>
      <c r="I49" s="12">
        <v>0</v>
      </c>
    </row>
    <row r="50" spans="2:9" ht="15" customHeight="1" x14ac:dyDescent="0.2">
      <c r="B50" t="s">
        <v>136</v>
      </c>
      <c r="C50" s="12">
        <v>147</v>
      </c>
      <c r="D50" s="8">
        <v>3.22</v>
      </c>
      <c r="E50" s="12">
        <v>138</v>
      </c>
      <c r="F50" s="8">
        <v>5.54</v>
      </c>
      <c r="G50" s="12">
        <v>9</v>
      </c>
      <c r="H50" s="8">
        <v>0.44</v>
      </c>
      <c r="I50" s="12">
        <v>0</v>
      </c>
    </row>
    <row r="51" spans="2:9" ht="15" customHeight="1" x14ac:dyDescent="0.2">
      <c r="B51" t="s">
        <v>137</v>
      </c>
      <c r="C51" s="12">
        <v>147</v>
      </c>
      <c r="D51" s="8">
        <v>3.22</v>
      </c>
      <c r="E51" s="12">
        <v>139</v>
      </c>
      <c r="F51" s="8">
        <v>5.58</v>
      </c>
      <c r="G51" s="12">
        <v>8</v>
      </c>
      <c r="H51" s="8">
        <v>0.39</v>
      </c>
      <c r="I51" s="12">
        <v>0</v>
      </c>
    </row>
    <row r="52" spans="2:9" ht="15" customHeight="1" x14ac:dyDescent="0.2">
      <c r="B52" t="s">
        <v>141</v>
      </c>
      <c r="C52" s="12">
        <v>137</v>
      </c>
      <c r="D52" s="8">
        <v>3</v>
      </c>
      <c r="E52" s="12">
        <v>124</v>
      </c>
      <c r="F52" s="8">
        <v>4.9800000000000004</v>
      </c>
      <c r="G52" s="12">
        <v>13</v>
      </c>
      <c r="H52" s="8">
        <v>0.64</v>
      </c>
      <c r="I52" s="12">
        <v>0</v>
      </c>
    </row>
    <row r="53" spans="2:9" ht="15" customHeight="1" x14ac:dyDescent="0.2">
      <c r="B53" t="s">
        <v>134</v>
      </c>
      <c r="C53" s="12">
        <v>134</v>
      </c>
      <c r="D53" s="8">
        <v>2.94</v>
      </c>
      <c r="E53" s="12">
        <v>125</v>
      </c>
      <c r="F53" s="8">
        <v>5.0199999999999996</v>
      </c>
      <c r="G53" s="12">
        <v>9</v>
      </c>
      <c r="H53" s="8">
        <v>0.44</v>
      </c>
      <c r="I53" s="12">
        <v>0</v>
      </c>
    </row>
    <row r="54" spans="2:9" ht="15" customHeight="1" x14ac:dyDescent="0.2">
      <c r="B54" t="s">
        <v>129</v>
      </c>
      <c r="C54" s="12">
        <v>116</v>
      </c>
      <c r="D54" s="8">
        <v>2.54</v>
      </c>
      <c r="E54" s="12">
        <v>81</v>
      </c>
      <c r="F54" s="8">
        <v>3.25</v>
      </c>
      <c r="G54" s="12">
        <v>35</v>
      </c>
      <c r="H54" s="8">
        <v>1.71</v>
      </c>
      <c r="I54" s="12">
        <v>0</v>
      </c>
    </row>
    <row r="55" spans="2:9" ht="15" customHeight="1" x14ac:dyDescent="0.2">
      <c r="B55" t="s">
        <v>133</v>
      </c>
      <c r="C55" s="12">
        <v>104</v>
      </c>
      <c r="D55" s="8">
        <v>2.2799999999999998</v>
      </c>
      <c r="E55" s="12">
        <v>95</v>
      </c>
      <c r="F55" s="8">
        <v>3.82</v>
      </c>
      <c r="G55" s="12">
        <v>9</v>
      </c>
      <c r="H55" s="8">
        <v>0.44</v>
      </c>
      <c r="I55" s="12">
        <v>0</v>
      </c>
    </row>
    <row r="56" spans="2:9" ht="15" customHeight="1" x14ac:dyDescent="0.2">
      <c r="B56" t="s">
        <v>135</v>
      </c>
      <c r="C56" s="12">
        <v>89</v>
      </c>
      <c r="D56" s="8">
        <v>1.95</v>
      </c>
      <c r="E56" s="12">
        <v>89</v>
      </c>
      <c r="F56" s="8">
        <v>3.58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131</v>
      </c>
      <c r="C57" s="12">
        <v>88</v>
      </c>
      <c r="D57" s="8">
        <v>1.93</v>
      </c>
      <c r="E57" s="12">
        <v>13</v>
      </c>
      <c r="F57" s="8">
        <v>0.52</v>
      </c>
      <c r="G57" s="12">
        <v>75</v>
      </c>
      <c r="H57" s="8">
        <v>3.67</v>
      </c>
      <c r="I57" s="12">
        <v>0</v>
      </c>
    </row>
    <row r="58" spans="2:9" ht="15" customHeight="1" x14ac:dyDescent="0.2">
      <c r="B58" t="s">
        <v>126</v>
      </c>
      <c r="C58" s="12">
        <v>86</v>
      </c>
      <c r="D58" s="8">
        <v>1.89</v>
      </c>
      <c r="E58" s="12">
        <v>58</v>
      </c>
      <c r="F58" s="8">
        <v>2.33</v>
      </c>
      <c r="G58" s="12">
        <v>28</v>
      </c>
      <c r="H58" s="8">
        <v>1.37</v>
      </c>
      <c r="I58" s="12">
        <v>0</v>
      </c>
    </row>
    <row r="59" spans="2:9" ht="15" customHeight="1" x14ac:dyDescent="0.2">
      <c r="B59" t="s">
        <v>130</v>
      </c>
      <c r="C59" s="12">
        <v>86</v>
      </c>
      <c r="D59" s="8">
        <v>1.89</v>
      </c>
      <c r="E59" s="12">
        <v>14</v>
      </c>
      <c r="F59" s="8">
        <v>0.56000000000000005</v>
      </c>
      <c r="G59" s="12">
        <v>72</v>
      </c>
      <c r="H59" s="8">
        <v>3.52</v>
      </c>
      <c r="I59" s="12">
        <v>0</v>
      </c>
    </row>
    <row r="60" spans="2:9" ht="15" customHeight="1" x14ac:dyDescent="0.2">
      <c r="B60" t="s">
        <v>139</v>
      </c>
      <c r="C60" s="12">
        <v>73</v>
      </c>
      <c r="D60" s="8">
        <v>1.6</v>
      </c>
      <c r="E60" s="12">
        <v>57</v>
      </c>
      <c r="F60" s="8">
        <v>2.29</v>
      </c>
      <c r="G60" s="12">
        <v>16</v>
      </c>
      <c r="H60" s="8">
        <v>0.78</v>
      </c>
      <c r="I60" s="12">
        <v>0</v>
      </c>
    </row>
    <row r="61" spans="2:9" ht="15" customHeight="1" x14ac:dyDescent="0.2">
      <c r="B61" t="s">
        <v>146</v>
      </c>
      <c r="C61" s="12">
        <v>70</v>
      </c>
      <c r="D61" s="8">
        <v>1.53</v>
      </c>
      <c r="E61" s="12">
        <v>31</v>
      </c>
      <c r="F61" s="8">
        <v>1.25</v>
      </c>
      <c r="G61" s="12">
        <v>39</v>
      </c>
      <c r="H61" s="8">
        <v>1.91</v>
      </c>
      <c r="I61" s="12">
        <v>0</v>
      </c>
    </row>
    <row r="62" spans="2:9" ht="15" customHeight="1" x14ac:dyDescent="0.2">
      <c r="B62" t="s">
        <v>125</v>
      </c>
      <c r="C62" s="12">
        <v>68</v>
      </c>
      <c r="D62" s="8">
        <v>1.49</v>
      </c>
      <c r="E62" s="12">
        <v>30</v>
      </c>
      <c r="F62" s="8">
        <v>1.21</v>
      </c>
      <c r="G62" s="12">
        <v>38</v>
      </c>
      <c r="H62" s="8">
        <v>1.86</v>
      </c>
      <c r="I62" s="12">
        <v>0</v>
      </c>
    </row>
    <row r="63" spans="2:9" ht="15" customHeight="1" x14ac:dyDescent="0.2">
      <c r="B63" t="s">
        <v>145</v>
      </c>
      <c r="C63" s="12">
        <v>67</v>
      </c>
      <c r="D63" s="8">
        <v>1.47</v>
      </c>
      <c r="E63" s="12">
        <v>64</v>
      </c>
      <c r="F63" s="8">
        <v>2.57</v>
      </c>
      <c r="G63" s="12">
        <v>3</v>
      </c>
      <c r="H63" s="8">
        <v>0.15</v>
      </c>
      <c r="I63" s="12">
        <v>0</v>
      </c>
    </row>
    <row r="64" spans="2:9" ht="15" customHeight="1" x14ac:dyDescent="0.2">
      <c r="B64" t="s">
        <v>128</v>
      </c>
      <c r="C64" s="12">
        <v>61</v>
      </c>
      <c r="D64" s="8">
        <v>1.34</v>
      </c>
      <c r="E64" s="12">
        <v>21</v>
      </c>
      <c r="F64" s="8">
        <v>0.84</v>
      </c>
      <c r="G64" s="12">
        <v>40</v>
      </c>
      <c r="H64" s="8">
        <v>1.96</v>
      </c>
      <c r="I64" s="12">
        <v>0</v>
      </c>
    </row>
    <row r="65" spans="2:9" ht="15" customHeight="1" x14ac:dyDescent="0.2">
      <c r="B65" t="s">
        <v>150</v>
      </c>
      <c r="C65" s="12">
        <v>59</v>
      </c>
      <c r="D65" s="8">
        <v>1.29</v>
      </c>
      <c r="E65" s="12">
        <v>15</v>
      </c>
      <c r="F65" s="8">
        <v>0.6</v>
      </c>
      <c r="G65" s="12">
        <v>44</v>
      </c>
      <c r="H65" s="8">
        <v>2.15</v>
      </c>
      <c r="I65" s="12">
        <v>0</v>
      </c>
    </row>
    <row r="66" spans="2:9" ht="15" customHeight="1" x14ac:dyDescent="0.2">
      <c r="B66" t="s">
        <v>127</v>
      </c>
      <c r="C66" s="12">
        <v>58</v>
      </c>
      <c r="D66" s="8">
        <v>1.27</v>
      </c>
      <c r="E66" s="12">
        <v>33</v>
      </c>
      <c r="F66" s="8">
        <v>1.33</v>
      </c>
      <c r="G66" s="12">
        <v>25</v>
      </c>
      <c r="H66" s="8">
        <v>1.22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A4E19-DC0F-4547-899A-72F72FCF39D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232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713</v>
      </c>
      <c r="D6" s="8">
        <v>9.25</v>
      </c>
      <c r="E6" s="12">
        <v>97</v>
      </c>
      <c r="F6" s="8">
        <v>2.75</v>
      </c>
      <c r="G6" s="12">
        <v>616</v>
      </c>
      <c r="H6" s="8">
        <v>14.89</v>
      </c>
      <c r="I6" s="12">
        <v>0</v>
      </c>
    </row>
    <row r="7" spans="2:9" ht="15" customHeight="1" x14ac:dyDescent="0.2">
      <c r="B7" t="s">
        <v>53</v>
      </c>
      <c r="C7" s="12">
        <v>223</v>
      </c>
      <c r="D7" s="8">
        <v>2.89</v>
      </c>
      <c r="E7" s="12">
        <v>50</v>
      </c>
      <c r="F7" s="8">
        <v>1.42</v>
      </c>
      <c r="G7" s="12">
        <v>172</v>
      </c>
      <c r="H7" s="8">
        <v>4.16</v>
      </c>
      <c r="I7" s="12">
        <v>1</v>
      </c>
    </row>
    <row r="8" spans="2:9" ht="15" customHeight="1" x14ac:dyDescent="0.2">
      <c r="B8" t="s">
        <v>54</v>
      </c>
      <c r="C8" s="12">
        <v>10</v>
      </c>
      <c r="D8" s="8">
        <v>0.13</v>
      </c>
      <c r="E8" s="12">
        <v>0</v>
      </c>
      <c r="F8" s="8">
        <v>0</v>
      </c>
      <c r="G8" s="12">
        <v>9</v>
      </c>
      <c r="H8" s="8">
        <v>0.22</v>
      </c>
      <c r="I8" s="12">
        <v>0</v>
      </c>
    </row>
    <row r="9" spans="2:9" ht="15" customHeight="1" x14ac:dyDescent="0.2">
      <c r="B9" t="s">
        <v>55</v>
      </c>
      <c r="C9" s="12">
        <v>88</v>
      </c>
      <c r="D9" s="8">
        <v>1.1399999999999999</v>
      </c>
      <c r="E9" s="12">
        <v>4</v>
      </c>
      <c r="F9" s="8">
        <v>0.11</v>
      </c>
      <c r="G9" s="12">
        <v>84</v>
      </c>
      <c r="H9" s="8">
        <v>2.0299999999999998</v>
      </c>
      <c r="I9" s="12">
        <v>0</v>
      </c>
    </row>
    <row r="10" spans="2:9" ht="15" customHeight="1" x14ac:dyDescent="0.2">
      <c r="B10" t="s">
        <v>56</v>
      </c>
      <c r="C10" s="12">
        <v>66</v>
      </c>
      <c r="D10" s="8">
        <v>0.86</v>
      </c>
      <c r="E10" s="12">
        <v>6</v>
      </c>
      <c r="F10" s="8">
        <v>0.17</v>
      </c>
      <c r="G10" s="12">
        <v>60</v>
      </c>
      <c r="H10" s="8">
        <v>1.45</v>
      </c>
      <c r="I10" s="12">
        <v>0</v>
      </c>
    </row>
    <row r="11" spans="2:9" ht="15" customHeight="1" x14ac:dyDescent="0.2">
      <c r="B11" t="s">
        <v>57</v>
      </c>
      <c r="C11" s="12">
        <v>1664</v>
      </c>
      <c r="D11" s="8">
        <v>21.59</v>
      </c>
      <c r="E11" s="12">
        <v>704</v>
      </c>
      <c r="F11" s="8">
        <v>19.989999999999998</v>
      </c>
      <c r="G11" s="12">
        <v>957</v>
      </c>
      <c r="H11" s="8">
        <v>23.13</v>
      </c>
      <c r="I11" s="12">
        <v>3</v>
      </c>
    </row>
    <row r="12" spans="2:9" ht="15" customHeight="1" x14ac:dyDescent="0.2">
      <c r="B12" t="s">
        <v>58</v>
      </c>
      <c r="C12" s="12">
        <v>42</v>
      </c>
      <c r="D12" s="8">
        <v>0.55000000000000004</v>
      </c>
      <c r="E12" s="12">
        <v>3</v>
      </c>
      <c r="F12" s="8">
        <v>0.09</v>
      </c>
      <c r="G12" s="12">
        <v>39</v>
      </c>
      <c r="H12" s="8">
        <v>0.94</v>
      </c>
      <c r="I12" s="12">
        <v>0</v>
      </c>
    </row>
    <row r="13" spans="2:9" ht="15" customHeight="1" x14ac:dyDescent="0.2">
      <c r="B13" t="s">
        <v>59</v>
      </c>
      <c r="C13" s="12">
        <v>1237</v>
      </c>
      <c r="D13" s="8">
        <v>16.05</v>
      </c>
      <c r="E13" s="12">
        <v>277</v>
      </c>
      <c r="F13" s="8">
        <v>7.86</v>
      </c>
      <c r="G13" s="12">
        <v>955</v>
      </c>
      <c r="H13" s="8">
        <v>23.08</v>
      </c>
      <c r="I13" s="12">
        <v>5</v>
      </c>
    </row>
    <row r="14" spans="2:9" ht="15" customHeight="1" x14ac:dyDescent="0.2">
      <c r="B14" t="s">
        <v>60</v>
      </c>
      <c r="C14" s="12">
        <v>495</v>
      </c>
      <c r="D14" s="8">
        <v>6.42</v>
      </c>
      <c r="E14" s="12">
        <v>202</v>
      </c>
      <c r="F14" s="8">
        <v>5.74</v>
      </c>
      <c r="G14" s="12">
        <v>293</v>
      </c>
      <c r="H14" s="8">
        <v>7.08</v>
      </c>
      <c r="I14" s="12">
        <v>0</v>
      </c>
    </row>
    <row r="15" spans="2:9" ht="15" customHeight="1" x14ac:dyDescent="0.2">
      <c r="B15" t="s">
        <v>61</v>
      </c>
      <c r="C15" s="12">
        <v>1052</v>
      </c>
      <c r="D15" s="8">
        <v>13.65</v>
      </c>
      <c r="E15" s="12">
        <v>856</v>
      </c>
      <c r="F15" s="8">
        <v>24.3</v>
      </c>
      <c r="G15" s="12">
        <v>196</v>
      </c>
      <c r="H15" s="8">
        <v>4.74</v>
      </c>
      <c r="I15" s="12">
        <v>0</v>
      </c>
    </row>
    <row r="16" spans="2:9" ht="15" customHeight="1" x14ac:dyDescent="0.2">
      <c r="B16" t="s">
        <v>62</v>
      </c>
      <c r="C16" s="12">
        <v>995</v>
      </c>
      <c r="D16" s="8">
        <v>12.91</v>
      </c>
      <c r="E16" s="12">
        <v>690</v>
      </c>
      <c r="F16" s="8">
        <v>19.59</v>
      </c>
      <c r="G16" s="12">
        <v>301</v>
      </c>
      <c r="H16" s="8">
        <v>7.27</v>
      </c>
      <c r="I16" s="12">
        <v>0</v>
      </c>
    </row>
    <row r="17" spans="2:9" ht="15" customHeight="1" x14ac:dyDescent="0.2">
      <c r="B17" t="s">
        <v>63</v>
      </c>
      <c r="C17" s="12">
        <v>401</v>
      </c>
      <c r="D17" s="8">
        <v>5.2</v>
      </c>
      <c r="E17" s="12">
        <v>226</v>
      </c>
      <c r="F17" s="8">
        <v>6.42</v>
      </c>
      <c r="G17" s="12">
        <v>148</v>
      </c>
      <c r="H17" s="8">
        <v>3.58</v>
      </c>
      <c r="I17" s="12">
        <v>0</v>
      </c>
    </row>
    <row r="18" spans="2:9" ht="15" customHeight="1" x14ac:dyDescent="0.2">
      <c r="B18" t="s">
        <v>64</v>
      </c>
      <c r="C18" s="12">
        <v>512</v>
      </c>
      <c r="D18" s="8">
        <v>6.64</v>
      </c>
      <c r="E18" s="12">
        <v>357</v>
      </c>
      <c r="F18" s="8">
        <v>10.14</v>
      </c>
      <c r="G18" s="12">
        <v>153</v>
      </c>
      <c r="H18" s="8">
        <v>3.7</v>
      </c>
      <c r="I18" s="12">
        <v>0</v>
      </c>
    </row>
    <row r="19" spans="2:9" ht="15" customHeight="1" x14ac:dyDescent="0.2">
      <c r="B19" t="s">
        <v>65</v>
      </c>
      <c r="C19" s="12">
        <v>208</v>
      </c>
      <c r="D19" s="8">
        <v>2.7</v>
      </c>
      <c r="E19" s="12">
        <v>50</v>
      </c>
      <c r="F19" s="8">
        <v>1.42</v>
      </c>
      <c r="G19" s="12">
        <v>155</v>
      </c>
      <c r="H19" s="8">
        <v>3.75</v>
      </c>
      <c r="I19" s="12">
        <v>2</v>
      </c>
    </row>
    <row r="20" spans="2:9" ht="15" customHeight="1" x14ac:dyDescent="0.2">
      <c r="B20" s="9" t="s">
        <v>215</v>
      </c>
      <c r="C20" s="12">
        <f>SUM(LTBL_28204[総数／事業所数])</f>
        <v>7706</v>
      </c>
      <c r="E20" s="12">
        <f>SUBTOTAL(109,LTBL_28204[個人／事業所数])</f>
        <v>3522</v>
      </c>
      <c r="G20" s="12">
        <f>SUBTOTAL(109,LTBL_28204[法人／事業所数])</f>
        <v>4138</v>
      </c>
      <c r="I20" s="12">
        <f>SUBTOTAL(109,LTBL_28204[法人以外の団体／事業所数])</f>
        <v>11</v>
      </c>
    </row>
    <row r="21" spans="2:9" ht="15" customHeight="1" x14ac:dyDescent="0.2">
      <c r="E21" s="11">
        <f>LTBL_28204[[#Totals],[個人／事業所数]]/LTBL_28204[[#Totals],[総数／事業所数]]</f>
        <v>0.4570464573059953</v>
      </c>
      <c r="G21" s="11">
        <f>LTBL_28204[[#Totals],[法人／事業所数]]/LTBL_28204[[#Totals],[総数／事業所数]]</f>
        <v>0.53698416818063843</v>
      </c>
      <c r="I21" s="11">
        <f>LTBL_28204[[#Totals],[法人以外の団体／事業所数]]/LTBL_28204[[#Totals],[総数／事業所数]]</f>
        <v>1.4274591227614846E-3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85</v>
      </c>
      <c r="C24" s="12">
        <v>958</v>
      </c>
      <c r="D24" s="8">
        <v>12.43</v>
      </c>
      <c r="E24" s="12">
        <v>252</v>
      </c>
      <c r="F24" s="8">
        <v>7.16</v>
      </c>
      <c r="G24" s="12">
        <v>701</v>
      </c>
      <c r="H24" s="8">
        <v>16.940000000000001</v>
      </c>
      <c r="I24" s="12">
        <v>5</v>
      </c>
    </row>
    <row r="25" spans="2:9" ht="15" customHeight="1" x14ac:dyDescent="0.2">
      <c r="B25" t="s">
        <v>88</v>
      </c>
      <c r="C25" s="12">
        <v>935</v>
      </c>
      <c r="D25" s="8">
        <v>12.13</v>
      </c>
      <c r="E25" s="12">
        <v>822</v>
      </c>
      <c r="F25" s="8">
        <v>23.34</v>
      </c>
      <c r="G25" s="12">
        <v>113</v>
      </c>
      <c r="H25" s="8">
        <v>2.73</v>
      </c>
      <c r="I25" s="12">
        <v>0</v>
      </c>
    </row>
    <row r="26" spans="2:9" ht="15" customHeight="1" x14ac:dyDescent="0.2">
      <c r="B26" t="s">
        <v>89</v>
      </c>
      <c r="C26" s="12">
        <v>822</v>
      </c>
      <c r="D26" s="8">
        <v>10.67</v>
      </c>
      <c r="E26" s="12">
        <v>628</v>
      </c>
      <c r="F26" s="8">
        <v>17.829999999999998</v>
      </c>
      <c r="G26" s="12">
        <v>194</v>
      </c>
      <c r="H26" s="8">
        <v>4.6900000000000004</v>
      </c>
      <c r="I26" s="12">
        <v>0</v>
      </c>
    </row>
    <row r="27" spans="2:9" ht="15" customHeight="1" x14ac:dyDescent="0.2">
      <c r="B27" t="s">
        <v>83</v>
      </c>
      <c r="C27" s="12">
        <v>456</v>
      </c>
      <c r="D27" s="8">
        <v>5.92</v>
      </c>
      <c r="E27" s="12">
        <v>254</v>
      </c>
      <c r="F27" s="8">
        <v>7.21</v>
      </c>
      <c r="G27" s="12">
        <v>200</v>
      </c>
      <c r="H27" s="8">
        <v>4.83</v>
      </c>
      <c r="I27" s="12">
        <v>2</v>
      </c>
    </row>
    <row r="28" spans="2:9" ht="15" customHeight="1" x14ac:dyDescent="0.2">
      <c r="B28" t="s">
        <v>92</v>
      </c>
      <c r="C28" s="12">
        <v>403</v>
      </c>
      <c r="D28" s="8">
        <v>5.23</v>
      </c>
      <c r="E28" s="12">
        <v>354</v>
      </c>
      <c r="F28" s="8">
        <v>10.050000000000001</v>
      </c>
      <c r="G28" s="12">
        <v>49</v>
      </c>
      <c r="H28" s="8">
        <v>1.18</v>
      </c>
      <c r="I28" s="12">
        <v>0</v>
      </c>
    </row>
    <row r="29" spans="2:9" ht="15" customHeight="1" x14ac:dyDescent="0.2">
      <c r="B29" t="s">
        <v>91</v>
      </c>
      <c r="C29" s="12">
        <v>401</v>
      </c>
      <c r="D29" s="8">
        <v>5.2</v>
      </c>
      <c r="E29" s="12">
        <v>226</v>
      </c>
      <c r="F29" s="8">
        <v>6.42</v>
      </c>
      <c r="G29" s="12">
        <v>148</v>
      </c>
      <c r="H29" s="8">
        <v>3.58</v>
      </c>
      <c r="I29" s="12">
        <v>0</v>
      </c>
    </row>
    <row r="30" spans="2:9" ht="15" customHeight="1" x14ac:dyDescent="0.2">
      <c r="B30" t="s">
        <v>74</v>
      </c>
      <c r="C30" s="12">
        <v>345</v>
      </c>
      <c r="D30" s="8">
        <v>4.4800000000000004</v>
      </c>
      <c r="E30" s="12">
        <v>38</v>
      </c>
      <c r="F30" s="8">
        <v>1.08</v>
      </c>
      <c r="G30" s="12">
        <v>307</v>
      </c>
      <c r="H30" s="8">
        <v>7.42</v>
      </c>
      <c r="I30" s="12">
        <v>0</v>
      </c>
    </row>
    <row r="31" spans="2:9" ht="15" customHeight="1" x14ac:dyDescent="0.2">
      <c r="B31" t="s">
        <v>86</v>
      </c>
      <c r="C31" s="12">
        <v>323</v>
      </c>
      <c r="D31" s="8">
        <v>4.1900000000000004</v>
      </c>
      <c r="E31" s="12">
        <v>146</v>
      </c>
      <c r="F31" s="8">
        <v>4.1500000000000004</v>
      </c>
      <c r="G31" s="12">
        <v>177</v>
      </c>
      <c r="H31" s="8">
        <v>4.28</v>
      </c>
      <c r="I31" s="12">
        <v>0</v>
      </c>
    </row>
    <row r="32" spans="2:9" ht="15" customHeight="1" x14ac:dyDescent="0.2">
      <c r="B32" t="s">
        <v>81</v>
      </c>
      <c r="C32" s="12">
        <v>302</v>
      </c>
      <c r="D32" s="8">
        <v>3.92</v>
      </c>
      <c r="E32" s="12">
        <v>196</v>
      </c>
      <c r="F32" s="8">
        <v>5.57</v>
      </c>
      <c r="G32" s="12">
        <v>105</v>
      </c>
      <c r="H32" s="8">
        <v>2.54</v>
      </c>
      <c r="I32" s="12">
        <v>1</v>
      </c>
    </row>
    <row r="33" spans="2:9" ht="15" customHeight="1" x14ac:dyDescent="0.2">
      <c r="B33" t="s">
        <v>80</v>
      </c>
      <c r="C33" s="12">
        <v>260</v>
      </c>
      <c r="D33" s="8">
        <v>3.37</v>
      </c>
      <c r="E33" s="12">
        <v>113</v>
      </c>
      <c r="F33" s="8">
        <v>3.21</v>
      </c>
      <c r="G33" s="12">
        <v>147</v>
      </c>
      <c r="H33" s="8">
        <v>3.55</v>
      </c>
      <c r="I33" s="12">
        <v>0</v>
      </c>
    </row>
    <row r="34" spans="2:9" ht="15" customHeight="1" x14ac:dyDescent="0.2">
      <c r="B34" t="s">
        <v>84</v>
      </c>
      <c r="C34" s="12">
        <v>244</v>
      </c>
      <c r="D34" s="8">
        <v>3.17</v>
      </c>
      <c r="E34" s="12">
        <v>24</v>
      </c>
      <c r="F34" s="8">
        <v>0.68</v>
      </c>
      <c r="G34" s="12">
        <v>220</v>
      </c>
      <c r="H34" s="8">
        <v>5.32</v>
      </c>
      <c r="I34" s="12">
        <v>0</v>
      </c>
    </row>
    <row r="35" spans="2:9" ht="15" customHeight="1" x14ac:dyDescent="0.2">
      <c r="B35" t="s">
        <v>75</v>
      </c>
      <c r="C35" s="12">
        <v>193</v>
      </c>
      <c r="D35" s="8">
        <v>2.5</v>
      </c>
      <c r="E35" s="12">
        <v>30</v>
      </c>
      <c r="F35" s="8">
        <v>0.85</v>
      </c>
      <c r="G35" s="12">
        <v>163</v>
      </c>
      <c r="H35" s="8">
        <v>3.94</v>
      </c>
      <c r="I35" s="12">
        <v>0</v>
      </c>
    </row>
    <row r="36" spans="2:9" ht="15" customHeight="1" x14ac:dyDescent="0.2">
      <c r="B36" t="s">
        <v>82</v>
      </c>
      <c r="C36" s="12">
        <v>184</v>
      </c>
      <c r="D36" s="8">
        <v>2.39</v>
      </c>
      <c r="E36" s="12">
        <v>88</v>
      </c>
      <c r="F36" s="8">
        <v>2.5</v>
      </c>
      <c r="G36" s="12">
        <v>96</v>
      </c>
      <c r="H36" s="8">
        <v>2.3199999999999998</v>
      </c>
      <c r="I36" s="12">
        <v>0</v>
      </c>
    </row>
    <row r="37" spans="2:9" ht="15" customHeight="1" x14ac:dyDescent="0.2">
      <c r="B37" t="s">
        <v>76</v>
      </c>
      <c r="C37" s="12">
        <v>175</v>
      </c>
      <c r="D37" s="8">
        <v>2.27</v>
      </c>
      <c r="E37" s="12">
        <v>29</v>
      </c>
      <c r="F37" s="8">
        <v>0.82</v>
      </c>
      <c r="G37" s="12">
        <v>146</v>
      </c>
      <c r="H37" s="8">
        <v>3.53</v>
      </c>
      <c r="I37" s="12">
        <v>0</v>
      </c>
    </row>
    <row r="38" spans="2:9" ht="15" customHeight="1" x14ac:dyDescent="0.2">
      <c r="B38" t="s">
        <v>87</v>
      </c>
      <c r="C38" s="12">
        <v>153</v>
      </c>
      <c r="D38" s="8">
        <v>1.99</v>
      </c>
      <c r="E38" s="12">
        <v>54</v>
      </c>
      <c r="F38" s="8">
        <v>1.53</v>
      </c>
      <c r="G38" s="12">
        <v>99</v>
      </c>
      <c r="H38" s="8">
        <v>2.39</v>
      </c>
      <c r="I38" s="12">
        <v>0</v>
      </c>
    </row>
    <row r="39" spans="2:9" ht="15" customHeight="1" x14ac:dyDescent="0.2">
      <c r="B39" t="s">
        <v>90</v>
      </c>
      <c r="C39" s="12">
        <v>129</v>
      </c>
      <c r="D39" s="8">
        <v>1.67</v>
      </c>
      <c r="E39" s="12">
        <v>48</v>
      </c>
      <c r="F39" s="8">
        <v>1.36</v>
      </c>
      <c r="G39" s="12">
        <v>78</v>
      </c>
      <c r="H39" s="8">
        <v>1.88</v>
      </c>
      <c r="I39" s="12">
        <v>0</v>
      </c>
    </row>
    <row r="40" spans="2:9" ht="15" customHeight="1" x14ac:dyDescent="0.2">
      <c r="B40" t="s">
        <v>79</v>
      </c>
      <c r="C40" s="12">
        <v>110</v>
      </c>
      <c r="D40" s="8">
        <v>1.43</v>
      </c>
      <c r="E40" s="12">
        <v>20</v>
      </c>
      <c r="F40" s="8">
        <v>0.56999999999999995</v>
      </c>
      <c r="G40" s="12">
        <v>90</v>
      </c>
      <c r="H40" s="8">
        <v>2.17</v>
      </c>
      <c r="I40" s="12">
        <v>0</v>
      </c>
    </row>
    <row r="41" spans="2:9" ht="15" customHeight="1" x14ac:dyDescent="0.2">
      <c r="B41" t="s">
        <v>93</v>
      </c>
      <c r="C41" s="12">
        <v>109</v>
      </c>
      <c r="D41" s="8">
        <v>1.41</v>
      </c>
      <c r="E41" s="12">
        <v>3</v>
      </c>
      <c r="F41" s="8">
        <v>0.09</v>
      </c>
      <c r="G41" s="12">
        <v>104</v>
      </c>
      <c r="H41" s="8">
        <v>2.5099999999999998</v>
      </c>
      <c r="I41" s="12">
        <v>0</v>
      </c>
    </row>
    <row r="42" spans="2:9" ht="15" customHeight="1" x14ac:dyDescent="0.2">
      <c r="B42" t="s">
        <v>94</v>
      </c>
      <c r="C42" s="12">
        <v>102</v>
      </c>
      <c r="D42" s="8">
        <v>1.32</v>
      </c>
      <c r="E42" s="12">
        <v>11</v>
      </c>
      <c r="F42" s="8">
        <v>0.31</v>
      </c>
      <c r="G42" s="12">
        <v>89</v>
      </c>
      <c r="H42" s="8">
        <v>2.15</v>
      </c>
      <c r="I42" s="12">
        <v>2</v>
      </c>
    </row>
    <row r="43" spans="2:9" ht="15" customHeight="1" x14ac:dyDescent="0.2">
      <c r="B43" t="s">
        <v>101</v>
      </c>
      <c r="C43" s="12">
        <v>93</v>
      </c>
      <c r="D43" s="8">
        <v>1.21</v>
      </c>
      <c r="E43" s="12">
        <v>8</v>
      </c>
      <c r="F43" s="8">
        <v>0.23</v>
      </c>
      <c r="G43" s="12">
        <v>85</v>
      </c>
      <c r="H43" s="8">
        <v>2.0499999999999998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132</v>
      </c>
      <c r="C47" s="12">
        <v>579</v>
      </c>
      <c r="D47" s="8">
        <v>7.51</v>
      </c>
      <c r="E47" s="12">
        <v>180</v>
      </c>
      <c r="F47" s="8">
        <v>5.1100000000000003</v>
      </c>
      <c r="G47" s="12">
        <v>398</v>
      </c>
      <c r="H47" s="8">
        <v>9.6199999999999992</v>
      </c>
      <c r="I47" s="12">
        <v>1</v>
      </c>
    </row>
    <row r="48" spans="2:9" ht="15" customHeight="1" x14ac:dyDescent="0.2">
      <c r="B48" t="s">
        <v>138</v>
      </c>
      <c r="C48" s="12">
        <v>466</v>
      </c>
      <c r="D48" s="8">
        <v>6.05</v>
      </c>
      <c r="E48" s="12">
        <v>386</v>
      </c>
      <c r="F48" s="8">
        <v>10.96</v>
      </c>
      <c r="G48" s="12">
        <v>80</v>
      </c>
      <c r="H48" s="8">
        <v>1.93</v>
      </c>
      <c r="I48" s="12">
        <v>0</v>
      </c>
    </row>
    <row r="49" spans="2:9" ht="15" customHeight="1" x14ac:dyDescent="0.2">
      <c r="B49" t="s">
        <v>141</v>
      </c>
      <c r="C49" s="12">
        <v>308</v>
      </c>
      <c r="D49" s="8">
        <v>4</v>
      </c>
      <c r="E49" s="12">
        <v>271</v>
      </c>
      <c r="F49" s="8">
        <v>7.69</v>
      </c>
      <c r="G49" s="12">
        <v>37</v>
      </c>
      <c r="H49" s="8">
        <v>0.89</v>
      </c>
      <c r="I49" s="12">
        <v>0</v>
      </c>
    </row>
    <row r="50" spans="2:9" ht="15" customHeight="1" x14ac:dyDescent="0.2">
      <c r="B50" t="s">
        <v>133</v>
      </c>
      <c r="C50" s="12">
        <v>245</v>
      </c>
      <c r="D50" s="8">
        <v>3.18</v>
      </c>
      <c r="E50" s="12">
        <v>202</v>
      </c>
      <c r="F50" s="8">
        <v>5.74</v>
      </c>
      <c r="G50" s="12">
        <v>43</v>
      </c>
      <c r="H50" s="8">
        <v>1.04</v>
      </c>
      <c r="I50" s="12">
        <v>0</v>
      </c>
    </row>
    <row r="51" spans="2:9" ht="15" customHeight="1" x14ac:dyDescent="0.2">
      <c r="B51" t="s">
        <v>140</v>
      </c>
      <c r="C51" s="12">
        <v>233</v>
      </c>
      <c r="D51" s="8">
        <v>3.02</v>
      </c>
      <c r="E51" s="12">
        <v>156</v>
      </c>
      <c r="F51" s="8">
        <v>4.43</v>
      </c>
      <c r="G51" s="12">
        <v>77</v>
      </c>
      <c r="H51" s="8">
        <v>1.86</v>
      </c>
      <c r="I51" s="12">
        <v>0</v>
      </c>
    </row>
    <row r="52" spans="2:9" ht="15" customHeight="1" x14ac:dyDescent="0.2">
      <c r="B52" t="s">
        <v>134</v>
      </c>
      <c r="C52" s="12">
        <v>200</v>
      </c>
      <c r="D52" s="8">
        <v>2.6</v>
      </c>
      <c r="E52" s="12">
        <v>180</v>
      </c>
      <c r="F52" s="8">
        <v>5.1100000000000003</v>
      </c>
      <c r="G52" s="12">
        <v>20</v>
      </c>
      <c r="H52" s="8">
        <v>0.48</v>
      </c>
      <c r="I52" s="12">
        <v>0</v>
      </c>
    </row>
    <row r="53" spans="2:9" ht="15" customHeight="1" x14ac:dyDescent="0.2">
      <c r="B53" t="s">
        <v>129</v>
      </c>
      <c r="C53" s="12">
        <v>189</v>
      </c>
      <c r="D53" s="8">
        <v>2.4500000000000002</v>
      </c>
      <c r="E53" s="12">
        <v>136</v>
      </c>
      <c r="F53" s="8">
        <v>3.86</v>
      </c>
      <c r="G53" s="12">
        <v>52</v>
      </c>
      <c r="H53" s="8">
        <v>1.26</v>
      </c>
      <c r="I53" s="12">
        <v>1</v>
      </c>
    </row>
    <row r="54" spans="2:9" ht="15" customHeight="1" x14ac:dyDescent="0.2">
      <c r="B54" t="s">
        <v>136</v>
      </c>
      <c r="C54" s="12">
        <v>184</v>
      </c>
      <c r="D54" s="8">
        <v>2.39</v>
      </c>
      <c r="E54" s="12">
        <v>170</v>
      </c>
      <c r="F54" s="8">
        <v>4.83</v>
      </c>
      <c r="G54" s="12">
        <v>14</v>
      </c>
      <c r="H54" s="8">
        <v>0.34</v>
      </c>
      <c r="I54" s="12">
        <v>0</v>
      </c>
    </row>
    <row r="55" spans="2:9" ht="15" customHeight="1" x14ac:dyDescent="0.2">
      <c r="B55" t="s">
        <v>130</v>
      </c>
      <c r="C55" s="12">
        <v>175</v>
      </c>
      <c r="D55" s="8">
        <v>2.27</v>
      </c>
      <c r="E55" s="12">
        <v>20</v>
      </c>
      <c r="F55" s="8">
        <v>0.56999999999999995</v>
      </c>
      <c r="G55" s="12">
        <v>155</v>
      </c>
      <c r="H55" s="8">
        <v>3.75</v>
      </c>
      <c r="I55" s="12">
        <v>0</v>
      </c>
    </row>
    <row r="56" spans="2:9" ht="15" customHeight="1" x14ac:dyDescent="0.2">
      <c r="B56" t="s">
        <v>143</v>
      </c>
      <c r="C56" s="12">
        <v>164</v>
      </c>
      <c r="D56" s="8">
        <v>2.13</v>
      </c>
      <c r="E56" s="12">
        <v>7</v>
      </c>
      <c r="F56" s="8">
        <v>0.2</v>
      </c>
      <c r="G56" s="12">
        <v>155</v>
      </c>
      <c r="H56" s="8">
        <v>3.75</v>
      </c>
      <c r="I56" s="12">
        <v>2</v>
      </c>
    </row>
    <row r="57" spans="2:9" ht="15" customHeight="1" x14ac:dyDescent="0.2">
      <c r="B57" t="s">
        <v>137</v>
      </c>
      <c r="C57" s="12">
        <v>156</v>
      </c>
      <c r="D57" s="8">
        <v>2.02</v>
      </c>
      <c r="E57" s="12">
        <v>138</v>
      </c>
      <c r="F57" s="8">
        <v>3.92</v>
      </c>
      <c r="G57" s="12">
        <v>18</v>
      </c>
      <c r="H57" s="8">
        <v>0.43</v>
      </c>
      <c r="I57" s="12">
        <v>0</v>
      </c>
    </row>
    <row r="58" spans="2:9" ht="15" customHeight="1" x14ac:dyDescent="0.2">
      <c r="B58" t="s">
        <v>125</v>
      </c>
      <c r="C58" s="12">
        <v>139</v>
      </c>
      <c r="D58" s="8">
        <v>1.8</v>
      </c>
      <c r="E58" s="12">
        <v>64</v>
      </c>
      <c r="F58" s="8">
        <v>1.82</v>
      </c>
      <c r="G58" s="12">
        <v>75</v>
      </c>
      <c r="H58" s="8">
        <v>1.81</v>
      </c>
      <c r="I58" s="12">
        <v>0</v>
      </c>
    </row>
    <row r="59" spans="2:9" ht="15" customHeight="1" x14ac:dyDescent="0.2">
      <c r="B59" t="s">
        <v>131</v>
      </c>
      <c r="C59" s="12">
        <v>130</v>
      </c>
      <c r="D59" s="8">
        <v>1.69</v>
      </c>
      <c r="E59" s="12">
        <v>19</v>
      </c>
      <c r="F59" s="8">
        <v>0.54</v>
      </c>
      <c r="G59" s="12">
        <v>110</v>
      </c>
      <c r="H59" s="8">
        <v>2.66</v>
      </c>
      <c r="I59" s="12">
        <v>1</v>
      </c>
    </row>
    <row r="60" spans="2:9" ht="15" customHeight="1" x14ac:dyDescent="0.2">
      <c r="B60" t="s">
        <v>135</v>
      </c>
      <c r="C60" s="12">
        <v>130</v>
      </c>
      <c r="D60" s="8">
        <v>1.69</v>
      </c>
      <c r="E60" s="12">
        <v>127</v>
      </c>
      <c r="F60" s="8">
        <v>3.61</v>
      </c>
      <c r="G60" s="12">
        <v>3</v>
      </c>
      <c r="H60" s="8">
        <v>7.0000000000000007E-2</v>
      </c>
      <c r="I60" s="12">
        <v>0</v>
      </c>
    </row>
    <row r="61" spans="2:9" ht="15" customHeight="1" x14ac:dyDescent="0.2">
      <c r="B61" t="s">
        <v>139</v>
      </c>
      <c r="C61" s="12">
        <v>122</v>
      </c>
      <c r="D61" s="8">
        <v>1.58</v>
      </c>
      <c r="E61" s="12">
        <v>69</v>
      </c>
      <c r="F61" s="8">
        <v>1.96</v>
      </c>
      <c r="G61" s="12">
        <v>53</v>
      </c>
      <c r="H61" s="8">
        <v>1.28</v>
      </c>
      <c r="I61" s="12">
        <v>0</v>
      </c>
    </row>
    <row r="62" spans="2:9" ht="15" customHeight="1" x14ac:dyDescent="0.2">
      <c r="B62" t="s">
        <v>146</v>
      </c>
      <c r="C62" s="12">
        <v>111</v>
      </c>
      <c r="D62" s="8">
        <v>1.44</v>
      </c>
      <c r="E62" s="12">
        <v>44</v>
      </c>
      <c r="F62" s="8">
        <v>1.25</v>
      </c>
      <c r="G62" s="12">
        <v>67</v>
      </c>
      <c r="H62" s="8">
        <v>1.62</v>
      </c>
      <c r="I62" s="12">
        <v>0</v>
      </c>
    </row>
    <row r="63" spans="2:9" ht="15" customHeight="1" x14ac:dyDescent="0.2">
      <c r="B63" t="s">
        <v>126</v>
      </c>
      <c r="C63" s="12">
        <v>108</v>
      </c>
      <c r="D63" s="8">
        <v>1.4</v>
      </c>
      <c r="E63" s="12">
        <v>65</v>
      </c>
      <c r="F63" s="8">
        <v>1.85</v>
      </c>
      <c r="G63" s="12">
        <v>42</v>
      </c>
      <c r="H63" s="8">
        <v>1.01</v>
      </c>
      <c r="I63" s="12">
        <v>1</v>
      </c>
    </row>
    <row r="64" spans="2:9" ht="15" customHeight="1" x14ac:dyDescent="0.2">
      <c r="B64" t="s">
        <v>123</v>
      </c>
      <c r="C64" s="12">
        <v>105</v>
      </c>
      <c r="D64" s="8">
        <v>1.36</v>
      </c>
      <c r="E64" s="12">
        <v>4</v>
      </c>
      <c r="F64" s="8">
        <v>0.11</v>
      </c>
      <c r="G64" s="12">
        <v>101</v>
      </c>
      <c r="H64" s="8">
        <v>2.44</v>
      </c>
      <c r="I64" s="12">
        <v>0</v>
      </c>
    </row>
    <row r="65" spans="2:9" ht="15" customHeight="1" x14ac:dyDescent="0.2">
      <c r="B65" t="s">
        <v>151</v>
      </c>
      <c r="C65" s="12">
        <v>88</v>
      </c>
      <c r="D65" s="8">
        <v>1.1399999999999999</v>
      </c>
      <c r="E65" s="12">
        <v>65</v>
      </c>
      <c r="F65" s="8">
        <v>1.85</v>
      </c>
      <c r="G65" s="12">
        <v>23</v>
      </c>
      <c r="H65" s="8">
        <v>0.56000000000000005</v>
      </c>
      <c r="I65" s="12">
        <v>0</v>
      </c>
    </row>
    <row r="66" spans="2:9" ht="15" customHeight="1" x14ac:dyDescent="0.2">
      <c r="B66" t="s">
        <v>144</v>
      </c>
      <c r="C66" s="12">
        <v>88</v>
      </c>
      <c r="D66" s="8">
        <v>1.1399999999999999</v>
      </c>
      <c r="E66" s="12">
        <v>25</v>
      </c>
      <c r="F66" s="8">
        <v>0.71</v>
      </c>
      <c r="G66" s="12">
        <v>63</v>
      </c>
      <c r="H66" s="8">
        <v>1.52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79E41-7BC5-44B4-B78B-9F456A98C207}">
  <sheetPr>
    <pageSetUpPr fitToPage="1"/>
  </sheetPr>
  <dimension ref="A1:H81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66</v>
      </c>
      <c r="B1" s="7" t="s">
        <v>67</v>
      </c>
      <c r="C1" s="7" t="s">
        <v>68</v>
      </c>
      <c r="D1" s="7" t="s">
        <v>69</v>
      </c>
      <c r="E1" s="7" t="s">
        <v>70</v>
      </c>
      <c r="F1" s="7" t="s">
        <v>71</v>
      </c>
      <c r="G1" s="7" t="s">
        <v>72</v>
      </c>
      <c r="H1" s="7" t="s">
        <v>73</v>
      </c>
    </row>
    <row r="2" spans="1:8" x14ac:dyDescent="0.2">
      <c r="A2" s="1" t="s">
        <v>0</v>
      </c>
      <c r="B2" s="4">
        <v>115497</v>
      </c>
      <c r="C2" s="5">
        <v>100.01</v>
      </c>
      <c r="D2" s="4">
        <v>59950</v>
      </c>
      <c r="E2" s="5">
        <v>100.02</v>
      </c>
      <c r="F2" s="4">
        <v>54512</v>
      </c>
      <c r="G2" s="5">
        <v>100.00000000000001</v>
      </c>
      <c r="H2" s="4">
        <v>225</v>
      </c>
    </row>
    <row r="3" spans="1:8" x14ac:dyDescent="0.2">
      <c r="A3" s="2" t="s">
        <v>51</v>
      </c>
      <c r="B3" s="4">
        <v>8</v>
      </c>
      <c r="C3" s="5">
        <v>0.01</v>
      </c>
      <c r="D3" s="4">
        <v>1</v>
      </c>
      <c r="E3" s="5">
        <v>0</v>
      </c>
      <c r="F3" s="4">
        <v>7</v>
      </c>
      <c r="G3" s="5">
        <v>0.01</v>
      </c>
      <c r="H3" s="4">
        <v>0</v>
      </c>
    </row>
    <row r="4" spans="1:8" x14ac:dyDescent="0.2">
      <c r="A4" s="2" t="s">
        <v>52</v>
      </c>
      <c r="B4" s="4">
        <v>13832</v>
      </c>
      <c r="C4" s="5">
        <v>11.98</v>
      </c>
      <c r="D4" s="4">
        <v>4220</v>
      </c>
      <c r="E4" s="5">
        <v>7.04</v>
      </c>
      <c r="F4" s="4">
        <v>9610</v>
      </c>
      <c r="G4" s="5">
        <v>17.63</v>
      </c>
      <c r="H4" s="4">
        <v>2</v>
      </c>
    </row>
    <row r="5" spans="1:8" x14ac:dyDescent="0.2">
      <c r="A5" s="2" t="s">
        <v>53</v>
      </c>
      <c r="B5" s="4">
        <v>10428</v>
      </c>
      <c r="C5" s="5">
        <v>9.0299999999999994</v>
      </c>
      <c r="D5" s="4">
        <v>4523</v>
      </c>
      <c r="E5" s="5">
        <v>7.54</v>
      </c>
      <c r="F5" s="4">
        <v>5897</v>
      </c>
      <c r="G5" s="5">
        <v>10.82</v>
      </c>
      <c r="H5" s="4">
        <v>6</v>
      </c>
    </row>
    <row r="6" spans="1:8" x14ac:dyDescent="0.2">
      <c r="A6" s="2" t="s">
        <v>54</v>
      </c>
      <c r="B6" s="4">
        <v>157</v>
      </c>
      <c r="C6" s="5">
        <v>0.14000000000000001</v>
      </c>
      <c r="D6" s="4">
        <v>3</v>
      </c>
      <c r="E6" s="5">
        <v>0.01</v>
      </c>
      <c r="F6" s="4">
        <v>147</v>
      </c>
      <c r="G6" s="5">
        <v>0.27</v>
      </c>
      <c r="H6" s="4">
        <v>0</v>
      </c>
    </row>
    <row r="7" spans="1:8" x14ac:dyDescent="0.2">
      <c r="A7" s="2" t="s">
        <v>55</v>
      </c>
      <c r="B7" s="4">
        <v>1051</v>
      </c>
      <c r="C7" s="5">
        <v>0.91</v>
      </c>
      <c r="D7" s="4">
        <v>70</v>
      </c>
      <c r="E7" s="5">
        <v>0.12</v>
      </c>
      <c r="F7" s="4">
        <v>980</v>
      </c>
      <c r="G7" s="5">
        <v>1.8</v>
      </c>
      <c r="H7" s="4">
        <v>0</v>
      </c>
    </row>
    <row r="8" spans="1:8" x14ac:dyDescent="0.2">
      <c r="A8" s="2" t="s">
        <v>56</v>
      </c>
      <c r="B8" s="4">
        <v>1358</v>
      </c>
      <c r="C8" s="5">
        <v>1.18</v>
      </c>
      <c r="D8" s="4">
        <v>215</v>
      </c>
      <c r="E8" s="5">
        <v>0.36</v>
      </c>
      <c r="F8" s="4">
        <v>1128</v>
      </c>
      <c r="G8" s="5">
        <v>2.0699999999999998</v>
      </c>
      <c r="H8" s="4">
        <v>14</v>
      </c>
    </row>
    <row r="9" spans="1:8" x14ac:dyDescent="0.2">
      <c r="A9" s="2" t="s">
        <v>57</v>
      </c>
      <c r="B9" s="4">
        <v>26402</v>
      </c>
      <c r="C9" s="5">
        <v>22.86</v>
      </c>
      <c r="D9" s="4">
        <v>12815</v>
      </c>
      <c r="E9" s="5">
        <v>21.38</v>
      </c>
      <c r="F9" s="4">
        <v>13557</v>
      </c>
      <c r="G9" s="5">
        <v>24.87</v>
      </c>
      <c r="H9" s="4">
        <v>30</v>
      </c>
    </row>
    <row r="10" spans="1:8" x14ac:dyDescent="0.2">
      <c r="A10" s="2" t="s">
        <v>58</v>
      </c>
      <c r="B10" s="4">
        <v>749</v>
      </c>
      <c r="C10" s="5">
        <v>0.65</v>
      </c>
      <c r="D10" s="4">
        <v>132</v>
      </c>
      <c r="E10" s="5">
        <v>0.22</v>
      </c>
      <c r="F10" s="4">
        <v>615</v>
      </c>
      <c r="G10" s="5">
        <v>1.1299999999999999</v>
      </c>
      <c r="H10" s="4">
        <v>1</v>
      </c>
    </row>
    <row r="11" spans="1:8" x14ac:dyDescent="0.2">
      <c r="A11" s="2" t="s">
        <v>59</v>
      </c>
      <c r="B11" s="4">
        <v>11855</v>
      </c>
      <c r="C11" s="5">
        <v>10.26</v>
      </c>
      <c r="D11" s="4">
        <v>3151</v>
      </c>
      <c r="E11" s="5">
        <v>5.26</v>
      </c>
      <c r="F11" s="4">
        <v>8672</v>
      </c>
      <c r="G11" s="5">
        <v>15.91</v>
      </c>
      <c r="H11" s="4">
        <v>27</v>
      </c>
    </row>
    <row r="12" spans="1:8" x14ac:dyDescent="0.2">
      <c r="A12" s="2" t="s">
        <v>60</v>
      </c>
      <c r="B12" s="4">
        <v>6575</v>
      </c>
      <c r="C12" s="5">
        <v>5.69</v>
      </c>
      <c r="D12" s="4">
        <v>3434</v>
      </c>
      <c r="E12" s="5">
        <v>5.73</v>
      </c>
      <c r="F12" s="4">
        <v>3109</v>
      </c>
      <c r="G12" s="5">
        <v>5.7</v>
      </c>
      <c r="H12" s="4">
        <v>10</v>
      </c>
    </row>
    <row r="13" spans="1:8" x14ac:dyDescent="0.2">
      <c r="A13" s="2" t="s">
        <v>61</v>
      </c>
      <c r="B13" s="4">
        <v>15476</v>
      </c>
      <c r="C13" s="5">
        <v>13.4</v>
      </c>
      <c r="D13" s="4">
        <v>13288</v>
      </c>
      <c r="E13" s="5">
        <v>22.17</v>
      </c>
      <c r="F13" s="4">
        <v>2159</v>
      </c>
      <c r="G13" s="5">
        <v>3.96</v>
      </c>
      <c r="H13" s="4">
        <v>10</v>
      </c>
    </row>
    <row r="14" spans="1:8" x14ac:dyDescent="0.2">
      <c r="A14" s="2" t="s">
        <v>62</v>
      </c>
      <c r="B14" s="4">
        <v>12972</v>
      </c>
      <c r="C14" s="5">
        <v>11.23</v>
      </c>
      <c r="D14" s="4">
        <v>9958</v>
      </c>
      <c r="E14" s="5">
        <v>16.61</v>
      </c>
      <c r="F14" s="4">
        <v>2945</v>
      </c>
      <c r="G14" s="5">
        <v>5.4</v>
      </c>
      <c r="H14" s="4">
        <v>12</v>
      </c>
    </row>
    <row r="15" spans="1:8" x14ac:dyDescent="0.2">
      <c r="A15" s="2" t="s">
        <v>63</v>
      </c>
      <c r="B15" s="4">
        <v>4955</v>
      </c>
      <c r="C15" s="5">
        <v>4.29</v>
      </c>
      <c r="D15" s="4">
        <v>3313</v>
      </c>
      <c r="E15" s="5">
        <v>5.53</v>
      </c>
      <c r="F15" s="4">
        <v>1290</v>
      </c>
      <c r="G15" s="5">
        <v>2.37</v>
      </c>
      <c r="H15" s="4">
        <v>30</v>
      </c>
    </row>
    <row r="16" spans="1:8" x14ac:dyDescent="0.2">
      <c r="A16" s="2" t="s">
        <v>64</v>
      </c>
      <c r="B16" s="4">
        <v>5836</v>
      </c>
      <c r="C16" s="5">
        <v>5.05</v>
      </c>
      <c r="D16" s="4">
        <v>3497</v>
      </c>
      <c r="E16" s="5">
        <v>5.83</v>
      </c>
      <c r="F16" s="4">
        <v>2050</v>
      </c>
      <c r="G16" s="5">
        <v>3.76</v>
      </c>
      <c r="H16" s="4">
        <v>10</v>
      </c>
    </row>
    <row r="17" spans="1:8" x14ac:dyDescent="0.2">
      <c r="A17" s="2" t="s">
        <v>65</v>
      </c>
      <c r="B17" s="4">
        <v>3843</v>
      </c>
      <c r="C17" s="5">
        <v>3.33</v>
      </c>
      <c r="D17" s="4">
        <v>1330</v>
      </c>
      <c r="E17" s="5">
        <v>2.2200000000000002</v>
      </c>
      <c r="F17" s="4">
        <v>2346</v>
      </c>
      <c r="G17" s="5">
        <v>4.3</v>
      </c>
      <c r="H17" s="4">
        <v>73</v>
      </c>
    </row>
    <row r="18" spans="1:8" x14ac:dyDescent="0.2">
      <c r="A18" s="1" t="s">
        <v>1</v>
      </c>
      <c r="B18" s="4">
        <v>33986</v>
      </c>
      <c r="C18" s="5">
        <v>100</v>
      </c>
      <c r="D18" s="4">
        <v>15874</v>
      </c>
      <c r="E18" s="5">
        <v>100.01</v>
      </c>
      <c r="F18" s="4">
        <v>18005</v>
      </c>
      <c r="G18" s="5">
        <v>100</v>
      </c>
      <c r="H18" s="4">
        <v>53</v>
      </c>
    </row>
    <row r="19" spans="1:8" x14ac:dyDescent="0.2">
      <c r="A19" s="2" t="s">
        <v>51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52</v>
      </c>
      <c r="B20" s="4">
        <v>2970</v>
      </c>
      <c r="C20" s="5">
        <v>8.74</v>
      </c>
      <c r="D20" s="4">
        <v>520</v>
      </c>
      <c r="E20" s="5">
        <v>3.28</v>
      </c>
      <c r="F20" s="4">
        <v>2448</v>
      </c>
      <c r="G20" s="5">
        <v>13.6</v>
      </c>
      <c r="H20" s="4">
        <v>2</v>
      </c>
    </row>
    <row r="21" spans="1:8" x14ac:dyDescent="0.2">
      <c r="A21" s="2" t="s">
        <v>53</v>
      </c>
      <c r="B21" s="4">
        <v>2363</v>
      </c>
      <c r="C21" s="5">
        <v>6.95</v>
      </c>
      <c r="D21" s="4">
        <v>872</v>
      </c>
      <c r="E21" s="5">
        <v>5.49</v>
      </c>
      <c r="F21" s="4">
        <v>1491</v>
      </c>
      <c r="G21" s="5">
        <v>8.2799999999999994</v>
      </c>
      <c r="H21" s="4">
        <v>0</v>
      </c>
    </row>
    <row r="22" spans="1:8" x14ac:dyDescent="0.2">
      <c r="A22" s="2" t="s">
        <v>54</v>
      </c>
      <c r="B22" s="4">
        <v>47</v>
      </c>
      <c r="C22" s="5">
        <v>0.14000000000000001</v>
      </c>
      <c r="D22" s="4">
        <v>0</v>
      </c>
      <c r="E22" s="5">
        <v>0</v>
      </c>
      <c r="F22" s="4">
        <v>47</v>
      </c>
      <c r="G22" s="5">
        <v>0.26</v>
      </c>
      <c r="H22" s="4">
        <v>0</v>
      </c>
    </row>
    <row r="23" spans="1:8" x14ac:dyDescent="0.2">
      <c r="A23" s="2" t="s">
        <v>55</v>
      </c>
      <c r="B23" s="4">
        <v>444</v>
      </c>
      <c r="C23" s="5">
        <v>1.31</v>
      </c>
      <c r="D23" s="4">
        <v>22</v>
      </c>
      <c r="E23" s="5">
        <v>0.14000000000000001</v>
      </c>
      <c r="F23" s="4">
        <v>422</v>
      </c>
      <c r="G23" s="5">
        <v>2.34</v>
      </c>
      <c r="H23" s="4">
        <v>0</v>
      </c>
    </row>
    <row r="24" spans="1:8" x14ac:dyDescent="0.2">
      <c r="A24" s="2" t="s">
        <v>56</v>
      </c>
      <c r="B24" s="4">
        <v>567</v>
      </c>
      <c r="C24" s="5">
        <v>1.67</v>
      </c>
      <c r="D24" s="4">
        <v>79</v>
      </c>
      <c r="E24" s="5">
        <v>0.5</v>
      </c>
      <c r="F24" s="4">
        <v>488</v>
      </c>
      <c r="G24" s="5">
        <v>2.71</v>
      </c>
      <c r="H24" s="4">
        <v>0</v>
      </c>
    </row>
    <row r="25" spans="1:8" x14ac:dyDescent="0.2">
      <c r="A25" s="2" t="s">
        <v>57</v>
      </c>
      <c r="B25" s="4">
        <v>7994</v>
      </c>
      <c r="C25" s="5">
        <v>23.52</v>
      </c>
      <c r="D25" s="4">
        <v>3155</v>
      </c>
      <c r="E25" s="5">
        <v>19.88</v>
      </c>
      <c r="F25" s="4">
        <v>4832</v>
      </c>
      <c r="G25" s="5">
        <v>26.84</v>
      </c>
      <c r="H25" s="4">
        <v>7</v>
      </c>
    </row>
    <row r="26" spans="1:8" x14ac:dyDescent="0.2">
      <c r="A26" s="2" t="s">
        <v>58</v>
      </c>
      <c r="B26" s="4">
        <v>230</v>
      </c>
      <c r="C26" s="5">
        <v>0.68</v>
      </c>
      <c r="D26" s="4">
        <v>17</v>
      </c>
      <c r="E26" s="5">
        <v>0.11</v>
      </c>
      <c r="F26" s="4">
        <v>213</v>
      </c>
      <c r="G26" s="5">
        <v>1.18</v>
      </c>
      <c r="H26" s="4">
        <v>0</v>
      </c>
    </row>
    <row r="27" spans="1:8" x14ac:dyDescent="0.2">
      <c r="A27" s="2" t="s">
        <v>59</v>
      </c>
      <c r="B27" s="4">
        <v>4072</v>
      </c>
      <c r="C27" s="5">
        <v>11.98</v>
      </c>
      <c r="D27" s="4">
        <v>930</v>
      </c>
      <c r="E27" s="5">
        <v>5.86</v>
      </c>
      <c r="F27" s="4">
        <v>3135</v>
      </c>
      <c r="G27" s="5">
        <v>17.41</v>
      </c>
      <c r="H27" s="4">
        <v>7</v>
      </c>
    </row>
    <row r="28" spans="1:8" x14ac:dyDescent="0.2">
      <c r="A28" s="2" t="s">
        <v>60</v>
      </c>
      <c r="B28" s="4">
        <v>2515</v>
      </c>
      <c r="C28" s="5">
        <v>7.4</v>
      </c>
      <c r="D28" s="4">
        <v>1222</v>
      </c>
      <c r="E28" s="5">
        <v>7.7</v>
      </c>
      <c r="F28" s="4">
        <v>1279</v>
      </c>
      <c r="G28" s="5">
        <v>7.1</v>
      </c>
      <c r="H28" s="4">
        <v>8</v>
      </c>
    </row>
    <row r="29" spans="1:8" x14ac:dyDescent="0.2">
      <c r="A29" s="2" t="s">
        <v>61</v>
      </c>
      <c r="B29" s="4">
        <v>5220</v>
      </c>
      <c r="C29" s="5">
        <v>15.36</v>
      </c>
      <c r="D29" s="4">
        <v>4432</v>
      </c>
      <c r="E29" s="5">
        <v>27.92</v>
      </c>
      <c r="F29" s="4">
        <v>786</v>
      </c>
      <c r="G29" s="5">
        <v>4.37</v>
      </c>
      <c r="H29" s="4">
        <v>0</v>
      </c>
    </row>
    <row r="30" spans="1:8" x14ac:dyDescent="0.2">
      <c r="A30" s="2" t="s">
        <v>62</v>
      </c>
      <c r="B30" s="4">
        <v>3361</v>
      </c>
      <c r="C30" s="5">
        <v>9.89</v>
      </c>
      <c r="D30" s="4">
        <v>2458</v>
      </c>
      <c r="E30" s="5">
        <v>15.48</v>
      </c>
      <c r="F30" s="4">
        <v>898</v>
      </c>
      <c r="G30" s="5">
        <v>4.99</v>
      </c>
      <c r="H30" s="4">
        <v>2</v>
      </c>
    </row>
    <row r="31" spans="1:8" x14ac:dyDescent="0.2">
      <c r="A31" s="2" t="s">
        <v>63</v>
      </c>
      <c r="B31" s="4">
        <v>1252</v>
      </c>
      <c r="C31" s="5">
        <v>3.68</v>
      </c>
      <c r="D31" s="4">
        <v>821</v>
      </c>
      <c r="E31" s="5">
        <v>5.17</v>
      </c>
      <c r="F31" s="4">
        <v>415</v>
      </c>
      <c r="G31" s="5">
        <v>2.2999999999999998</v>
      </c>
      <c r="H31" s="4">
        <v>11</v>
      </c>
    </row>
    <row r="32" spans="1:8" x14ac:dyDescent="0.2">
      <c r="A32" s="2" t="s">
        <v>64</v>
      </c>
      <c r="B32" s="4">
        <v>1745</v>
      </c>
      <c r="C32" s="5">
        <v>5.13</v>
      </c>
      <c r="D32" s="4">
        <v>1033</v>
      </c>
      <c r="E32" s="5">
        <v>6.51</v>
      </c>
      <c r="F32" s="4">
        <v>696</v>
      </c>
      <c r="G32" s="5">
        <v>3.87</v>
      </c>
      <c r="H32" s="4">
        <v>5</v>
      </c>
    </row>
    <row r="33" spans="1:8" x14ac:dyDescent="0.2">
      <c r="A33" s="2" t="s">
        <v>65</v>
      </c>
      <c r="B33" s="4">
        <v>1206</v>
      </c>
      <c r="C33" s="5">
        <v>3.55</v>
      </c>
      <c r="D33" s="4">
        <v>313</v>
      </c>
      <c r="E33" s="5">
        <v>1.97</v>
      </c>
      <c r="F33" s="4">
        <v>855</v>
      </c>
      <c r="G33" s="5">
        <v>4.75</v>
      </c>
      <c r="H33" s="4">
        <v>11</v>
      </c>
    </row>
    <row r="34" spans="1:8" x14ac:dyDescent="0.2">
      <c r="A34" s="1" t="s">
        <v>2</v>
      </c>
      <c r="B34" s="4">
        <v>3808</v>
      </c>
      <c r="C34" s="5">
        <v>100.01</v>
      </c>
      <c r="D34" s="4">
        <v>1535</v>
      </c>
      <c r="E34" s="5">
        <v>100.01</v>
      </c>
      <c r="F34" s="4">
        <v>2251</v>
      </c>
      <c r="G34" s="5">
        <v>99.99</v>
      </c>
      <c r="H34" s="4">
        <v>8</v>
      </c>
    </row>
    <row r="35" spans="1:8" x14ac:dyDescent="0.2">
      <c r="A35" s="2" t="s">
        <v>51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52</v>
      </c>
      <c r="B36" s="4">
        <v>301</v>
      </c>
      <c r="C36" s="5">
        <v>7.9</v>
      </c>
      <c r="D36" s="4">
        <v>50</v>
      </c>
      <c r="E36" s="5">
        <v>3.26</v>
      </c>
      <c r="F36" s="4">
        <v>251</v>
      </c>
      <c r="G36" s="5">
        <v>11.15</v>
      </c>
      <c r="H36" s="4">
        <v>0</v>
      </c>
    </row>
    <row r="37" spans="1:8" x14ac:dyDescent="0.2">
      <c r="A37" s="2" t="s">
        <v>53</v>
      </c>
      <c r="B37" s="4">
        <v>156</v>
      </c>
      <c r="C37" s="5">
        <v>4.0999999999999996</v>
      </c>
      <c r="D37" s="4">
        <v>32</v>
      </c>
      <c r="E37" s="5">
        <v>2.08</v>
      </c>
      <c r="F37" s="4">
        <v>124</v>
      </c>
      <c r="G37" s="5">
        <v>5.51</v>
      </c>
      <c r="H37" s="4">
        <v>0</v>
      </c>
    </row>
    <row r="38" spans="1:8" x14ac:dyDescent="0.2">
      <c r="A38" s="2" t="s">
        <v>54</v>
      </c>
      <c r="B38" s="4">
        <v>6</v>
      </c>
      <c r="C38" s="5">
        <v>0.16</v>
      </c>
      <c r="D38" s="4">
        <v>0</v>
      </c>
      <c r="E38" s="5">
        <v>0</v>
      </c>
      <c r="F38" s="4">
        <v>6</v>
      </c>
      <c r="G38" s="5">
        <v>0.27</v>
      </c>
      <c r="H38" s="4">
        <v>0</v>
      </c>
    </row>
    <row r="39" spans="1:8" x14ac:dyDescent="0.2">
      <c r="A39" s="2" t="s">
        <v>55</v>
      </c>
      <c r="B39" s="4">
        <v>78</v>
      </c>
      <c r="C39" s="5">
        <v>2.0499999999999998</v>
      </c>
      <c r="D39" s="4">
        <v>1</v>
      </c>
      <c r="E39" s="5">
        <v>7.0000000000000007E-2</v>
      </c>
      <c r="F39" s="4">
        <v>77</v>
      </c>
      <c r="G39" s="5">
        <v>3.42</v>
      </c>
      <c r="H39" s="4">
        <v>0</v>
      </c>
    </row>
    <row r="40" spans="1:8" x14ac:dyDescent="0.2">
      <c r="A40" s="2" t="s">
        <v>56</v>
      </c>
      <c r="B40" s="4">
        <v>92</v>
      </c>
      <c r="C40" s="5">
        <v>2.42</v>
      </c>
      <c r="D40" s="4">
        <v>4</v>
      </c>
      <c r="E40" s="5">
        <v>0.26</v>
      </c>
      <c r="F40" s="4">
        <v>88</v>
      </c>
      <c r="G40" s="5">
        <v>3.91</v>
      </c>
      <c r="H40" s="4">
        <v>0</v>
      </c>
    </row>
    <row r="41" spans="1:8" x14ac:dyDescent="0.2">
      <c r="A41" s="2" t="s">
        <v>57</v>
      </c>
      <c r="B41" s="4">
        <v>853</v>
      </c>
      <c r="C41" s="5">
        <v>22.4</v>
      </c>
      <c r="D41" s="4">
        <v>314</v>
      </c>
      <c r="E41" s="5">
        <v>20.46</v>
      </c>
      <c r="F41" s="4">
        <v>536</v>
      </c>
      <c r="G41" s="5">
        <v>23.81</v>
      </c>
      <c r="H41" s="4">
        <v>3</v>
      </c>
    </row>
    <row r="42" spans="1:8" x14ac:dyDescent="0.2">
      <c r="A42" s="2" t="s">
        <v>58</v>
      </c>
      <c r="B42" s="4">
        <v>21</v>
      </c>
      <c r="C42" s="5">
        <v>0.55000000000000004</v>
      </c>
      <c r="D42" s="4">
        <v>3</v>
      </c>
      <c r="E42" s="5">
        <v>0.2</v>
      </c>
      <c r="F42" s="4">
        <v>18</v>
      </c>
      <c r="G42" s="5">
        <v>0.8</v>
      </c>
      <c r="H42" s="4">
        <v>0</v>
      </c>
    </row>
    <row r="43" spans="1:8" x14ac:dyDescent="0.2">
      <c r="A43" s="2" t="s">
        <v>59</v>
      </c>
      <c r="B43" s="4">
        <v>510</v>
      </c>
      <c r="C43" s="5">
        <v>13.39</v>
      </c>
      <c r="D43" s="4">
        <v>64</v>
      </c>
      <c r="E43" s="5">
        <v>4.17</v>
      </c>
      <c r="F43" s="4">
        <v>446</v>
      </c>
      <c r="G43" s="5">
        <v>19.809999999999999</v>
      </c>
      <c r="H43" s="4">
        <v>0</v>
      </c>
    </row>
    <row r="44" spans="1:8" x14ac:dyDescent="0.2">
      <c r="A44" s="2" t="s">
        <v>60</v>
      </c>
      <c r="B44" s="4">
        <v>306</v>
      </c>
      <c r="C44" s="5">
        <v>8.0399999999999991</v>
      </c>
      <c r="D44" s="4">
        <v>105</v>
      </c>
      <c r="E44" s="5">
        <v>6.84</v>
      </c>
      <c r="F44" s="4">
        <v>199</v>
      </c>
      <c r="G44" s="5">
        <v>8.84</v>
      </c>
      <c r="H44" s="4">
        <v>0</v>
      </c>
    </row>
    <row r="45" spans="1:8" x14ac:dyDescent="0.2">
      <c r="A45" s="2" t="s">
        <v>61</v>
      </c>
      <c r="B45" s="4">
        <v>461</v>
      </c>
      <c r="C45" s="5">
        <v>12.11</v>
      </c>
      <c r="D45" s="4">
        <v>361</v>
      </c>
      <c r="E45" s="5">
        <v>23.52</v>
      </c>
      <c r="F45" s="4">
        <v>100</v>
      </c>
      <c r="G45" s="5">
        <v>4.4400000000000004</v>
      </c>
      <c r="H45" s="4">
        <v>0</v>
      </c>
    </row>
    <row r="46" spans="1:8" x14ac:dyDescent="0.2">
      <c r="A46" s="2" t="s">
        <v>62</v>
      </c>
      <c r="B46" s="4">
        <v>419</v>
      </c>
      <c r="C46" s="5">
        <v>11</v>
      </c>
      <c r="D46" s="4">
        <v>287</v>
      </c>
      <c r="E46" s="5">
        <v>18.7</v>
      </c>
      <c r="F46" s="4">
        <v>132</v>
      </c>
      <c r="G46" s="5">
        <v>5.86</v>
      </c>
      <c r="H46" s="4">
        <v>0</v>
      </c>
    </row>
    <row r="47" spans="1:8" x14ac:dyDescent="0.2">
      <c r="A47" s="2" t="s">
        <v>63</v>
      </c>
      <c r="B47" s="4">
        <v>216</v>
      </c>
      <c r="C47" s="5">
        <v>5.67</v>
      </c>
      <c r="D47" s="4">
        <v>125</v>
      </c>
      <c r="E47" s="5">
        <v>8.14</v>
      </c>
      <c r="F47" s="4">
        <v>87</v>
      </c>
      <c r="G47" s="5">
        <v>3.86</v>
      </c>
      <c r="H47" s="4">
        <v>3</v>
      </c>
    </row>
    <row r="48" spans="1:8" x14ac:dyDescent="0.2">
      <c r="A48" s="2" t="s">
        <v>64</v>
      </c>
      <c r="B48" s="4">
        <v>223</v>
      </c>
      <c r="C48" s="5">
        <v>5.86</v>
      </c>
      <c r="D48" s="4">
        <v>148</v>
      </c>
      <c r="E48" s="5">
        <v>9.64</v>
      </c>
      <c r="F48" s="4">
        <v>74</v>
      </c>
      <c r="G48" s="5">
        <v>3.29</v>
      </c>
      <c r="H48" s="4">
        <v>0</v>
      </c>
    </row>
    <row r="49" spans="1:8" x14ac:dyDescent="0.2">
      <c r="A49" s="2" t="s">
        <v>65</v>
      </c>
      <c r="B49" s="4">
        <v>166</v>
      </c>
      <c r="C49" s="5">
        <v>4.3600000000000003</v>
      </c>
      <c r="D49" s="4">
        <v>41</v>
      </c>
      <c r="E49" s="5">
        <v>2.67</v>
      </c>
      <c r="F49" s="4">
        <v>113</v>
      </c>
      <c r="G49" s="5">
        <v>5.0199999999999996</v>
      </c>
      <c r="H49" s="4">
        <v>2</v>
      </c>
    </row>
    <row r="50" spans="1:8" x14ac:dyDescent="0.2">
      <c r="A50" s="1" t="s">
        <v>3</v>
      </c>
      <c r="B50" s="4">
        <v>2912</v>
      </c>
      <c r="C50" s="5">
        <v>100</v>
      </c>
      <c r="D50" s="4">
        <v>1462</v>
      </c>
      <c r="E50" s="5">
        <v>100.00000000000001</v>
      </c>
      <c r="F50" s="4">
        <v>1445</v>
      </c>
      <c r="G50" s="5">
        <v>100</v>
      </c>
      <c r="H50" s="4">
        <v>0</v>
      </c>
    </row>
    <row r="51" spans="1:8" x14ac:dyDescent="0.2">
      <c r="A51" s="2" t="s">
        <v>51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52</v>
      </c>
      <c r="B52" s="4">
        <v>270</v>
      </c>
      <c r="C52" s="5">
        <v>9.27</v>
      </c>
      <c r="D52" s="4">
        <v>45</v>
      </c>
      <c r="E52" s="5">
        <v>3.08</v>
      </c>
      <c r="F52" s="4">
        <v>225</v>
      </c>
      <c r="G52" s="5">
        <v>15.57</v>
      </c>
      <c r="H52" s="4">
        <v>0</v>
      </c>
    </row>
    <row r="53" spans="1:8" x14ac:dyDescent="0.2">
      <c r="A53" s="2" t="s">
        <v>53</v>
      </c>
      <c r="B53" s="4">
        <v>112</v>
      </c>
      <c r="C53" s="5">
        <v>3.85</v>
      </c>
      <c r="D53" s="4">
        <v>33</v>
      </c>
      <c r="E53" s="5">
        <v>2.2599999999999998</v>
      </c>
      <c r="F53" s="4">
        <v>79</v>
      </c>
      <c r="G53" s="5">
        <v>5.47</v>
      </c>
      <c r="H53" s="4">
        <v>0</v>
      </c>
    </row>
    <row r="54" spans="1:8" x14ac:dyDescent="0.2">
      <c r="A54" s="2" t="s">
        <v>54</v>
      </c>
      <c r="B54" s="4">
        <v>3</v>
      </c>
      <c r="C54" s="5">
        <v>0.1</v>
      </c>
      <c r="D54" s="4">
        <v>0</v>
      </c>
      <c r="E54" s="5">
        <v>0</v>
      </c>
      <c r="F54" s="4">
        <v>3</v>
      </c>
      <c r="G54" s="5">
        <v>0.21</v>
      </c>
      <c r="H54" s="4">
        <v>0</v>
      </c>
    </row>
    <row r="55" spans="1:8" x14ac:dyDescent="0.2">
      <c r="A55" s="2" t="s">
        <v>55</v>
      </c>
      <c r="B55" s="4">
        <v>30</v>
      </c>
      <c r="C55" s="5">
        <v>1.03</v>
      </c>
      <c r="D55" s="4">
        <v>1</v>
      </c>
      <c r="E55" s="5">
        <v>7.0000000000000007E-2</v>
      </c>
      <c r="F55" s="4">
        <v>29</v>
      </c>
      <c r="G55" s="5">
        <v>2.0099999999999998</v>
      </c>
      <c r="H55" s="4">
        <v>0</v>
      </c>
    </row>
    <row r="56" spans="1:8" x14ac:dyDescent="0.2">
      <c r="A56" s="2" t="s">
        <v>56</v>
      </c>
      <c r="B56" s="4">
        <v>41</v>
      </c>
      <c r="C56" s="5">
        <v>1.41</v>
      </c>
      <c r="D56" s="4">
        <v>3</v>
      </c>
      <c r="E56" s="5">
        <v>0.21</v>
      </c>
      <c r="F56" s="4">
        <v>38</v>
      </c>
      <c r="G56" s="5">
        <v>2.63</v>
      </c>
      <c r="H56" s="4">
        <v>0</v>
      </c>
    </row>
    <row r="57" spans="1:8" x14ac:dyDescent="0.2">
      <c r="A57" s="2" t="s">
        <v>57</v>
      </c>
      <c r="B57" s="4">
        <v>669</v>
      </c>
      <c r="C57" s="5">
        <v>22.97</v>
      </c>
      <c r="D57" s="4">
        <v>342</v>
      </c>
      <c r="E57" s="5">
        <v>23.39</v>
      </c>
      <c r="F57" s="4">
        <v>327</v>
      </c>
      <c r="G57" s="5">
        <v>22.63</v>
      </c>
      <c r="H57" s="4">
        <v>0</v>
      </c>
    </row>
    <row r="58" spans="1:8" x14ac:dyDescent="0.2">
      <c r="A58" s="2" t="s">
        <v>58</v>
      </c>
      <c r="B58" s="4">
        <v>11</v>
      </c>
      <c r="C58" s="5">
        <v>0.38</v>
      </c>
      <c r="D58" s="4">
        <v>0</v>
      </c>
      <c r="E58" s="5">
        <v>0</v>
      </c>
      <c r="F58" s="4">
        <v>11</v>
      </c>
      <c r="G58" s="5">
        <v>0.76</v>
      </c>
      <c r="H58" s="4">
        <v>0</v>
      </c>
    </row>
    <row r="59" spans="1:8" x14ac:dyDescent="0.2">
      <c r="A59" s="2" t="s">
        <v>59</v>
      </c>
      <c r="B59" s="4">
        <v>383</v>
      </c>
      <c r="C59" s="5">
        <v>13.15</v>
      </c>
      <c r="D59" s="4">
        <v>70</v>
      </c>
      <c r="E59" s="5">
        <v>4.79</v>
      </c>
      <c r="F59" s="4">
        <v>313</v>
      </c>
      <c r="G59" s="5">
        <v>21.66</v>
      </c>
      <c r="H59" s="4">
        <v>0</v>
      </c>
    </row>
    <row r="60" spans="1:8" x14ac:dyDescent="0.2">
      <c r="A60" s="2" t="s">
        <v>60</v>
      </c>
      <c r="B60" s="4">
        <v>149</v>
      </c>
      <c r="C60" s="5">
        <v>5.12</v>
      </c>
      <c r="D60" s="4">
        <v>65</v>
      </c>
      <c r="E60" s="5">
        <v>4.45</v>
      </c>
      <c r="F60" s="4">
        <v>84</v>
      </c>
      <c r="G60" s="5">
        <v>5.81</v>
      </c>
      <c r="H60" s="4">
        <v>0</v>
      </c>
    </row>
    <row r="61" spans="1:8" x14ac:dyDescent="0.2">
      <c r="A61" s="2" t="s">
        <v>61</v>
      </c>
      <c r="B61" s="4">
        <v>467</v>
      </c>
      <c r="C61" s="5">
        <v>16.04</v>
      </c>
      <c r="D61" s="4">
        <v>404</v>
      </c>
      <c r="E61" s="5">
        <v>27.63</v>
      </c>
      <c r="F61" s="4">
        <v>63</v>
      </c>
      <c r="G61" s="5">
        <v>4.3600000000000003</v>
      </c>
      <c r="H61" s="4">
        <v>0</v>
      </c>
    </row>
    <row r="62" spans="1:8" x14ac:dyDescent="0.2">
      <c r="A62" s="2" t="s">
        <v>62</v>
      </c>
      <c r="B62" s="4">
        <v>361</v>
      </c>
      <c r="C62" s="5">
        <v>12.4</v>
      </c>
      <c r="D62" s="4">
        <v>279</v>
      </c>
      <c r="E62" s="5">
        <v>19.079999999999998</v>
      </c>
      <c r="F62" s="4">
        <v>82</v>
      </c>
      <c r="G62" s="5">
        <v>5.67</v>
      </c>
      <c r="H62" s="4">
        <v>0</v>
      </c>
    </row>
    <row r="63" spans="1:8" x14ac:dyDescent="0.2">
      <c r="A63" s="2" t="s">
        <v>63</v>
      </c>
      <c r="B63" s="4">
        <v>122</v>
      </c>
      <c r="C63" s="5">
        <v>4.1900000000000004</v>
      </c>
      <c r="D63" s="4">
        <v>72</v>
      </c>
      <c r="E63" s="5">
        <v>4.92</v>
      </c>
      <c r="F63" s="4">
        <v>50</v>
      </c>
      <c r="G63" s="5">
        <v>3.46</v>
      </c>
      <c r="H63" s="4">
        <v>0</v>
      </c>
    </row>
    <row r="64" spans="1:8" x14ac:dyDescent="0.2">
      <c r="A64" s="2" t="s">
        <v>64</v>
      </c>
      <c r="B64" s="4">
        <v>183</v>
      </c>
      <c r="C64" s="5">
        <v>6.28</v>
      </c>
      <c r="D64" s="4">
        <v>119</v>
      </c>
      <c r="E64" s="5">
        <v>8.14</v>
      </c>
      <c r="F64" s="4">
        <v>63</v>
      </c>
      <c r="G64" s="5">
        <v>4.3600000000000003</v>
      </c>
      <c r="H64" s="4">
        <v>0</v>
      </c>
    </row>
    <row r="65" spans="1:8" x14ac:dyDescent="0.2">
      <c r="A65" s="2" t="s">
        <v>65</v>
      </c>
      <c r="B65" s="4">
        <v>111</v>
      </c>
      <c r="C65" s="5">
        <v>3.81</v>
      </c>
      <c r="D65" s="4">
        <v>29</v>
      </c>
      <c r="E65" s="5">
        <v>1.98</v>
      </c>
      <c r="F65" s="4">
        <v>78</v>
      </c>
      <c r="G65" s="5">
        <v>5.4</v>
      </c>
      <c r="H65" s="4">
        <v>0</v>
      </c>
    </row>
    <row r="66" spans="1:8" x14ac:dyDescent="0.2">
      <c r="A66" s="1" t="s">
        <v>4</v>
      </c>
      <c r="B66" s="4">
        <v>3662</v>
      </c>
      <c r="C66" s="5">
        <v>100.01</v>
      </c>
      <c r="D66" s="4">
        <v>2016</v>
      </c>
      <c r="E66" s="5">
        <v>100.01</v>
      </c>
      <c r="F66" s="4">
        <v>1638</v>
      </c>
      <c r="G66" s="5">
        <v>99.99</v>
      </c>
      <c r="H66" s="4">
        <v>5</v>
      </c>
    </row>
    <row r="67" spans="1:8" x14ac:dyDescent="0.2">
      <c r="A67" s="2" t="s">
        <v>51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52</v>
      </c>
      <c r="B68" s="4">
        <v>332</v>
      </c>
      <c r="C68" s="5">
        <v>9.07</v>
      </c>
      <c r="D68" s="4">
        <v>64</v>
      </c>
      <c r="E68" s="5">
        <v>3.17</v>
      </c>
      <c r="F68" s="4">
        <v>268</v>
      </c>
      <c r="G68" s="5">
        <v>16.36</v>
      </c>
      <c r="H68" s="4">
        <v>0</v>
      </c>
    </row>
    <row r="69" spans="1:8" x14ac:dyDescent="0.2">
      <c r="A69" s="2" t="s">
        <v>53</v>
      </c>
      <c r="B69" s="4">
        <v>373</v>
      </c>
      <c r="C69" s="5">
        <v>10.19</v>
      </c>
      <c r="D69" s="4">
        <v>118</v>
      </c>
      <c r="E69" s="5">
        <v>5.85</v>
      </c>
      <c r="F69" s="4">
        <v>255</v>
      </c>
      <c r="G69" s="5">
        <v>15.57</v>
      </c>
      <c r="H69" s="4">
        <v>0</v>
      </c>
    </row>
    <row r="70" spans="1:8" x14ac:dyDescent="0.2">
      <c r="A70" s="2" t="s">
        <v>54</v>
      </c>
      <c r="B70" s="4">
        <v>2</v>
      </c>
      <c r="C70" s="5">
        <v>0.05</v>
      </c>
      <c r="D70" s="4">
        <v>0</v>
      </c>
      <c r="E70" s="5">
        <v>0</v>
      </c>
      <c r="F70" s="4">
        <v>2</v>
      </c>
      <c r="G70" s="5">
        <v>0.12</v>
      </c>
      <c r="H70" s="4">
        <v>0</v>
      </c>
    </row>
    <row r="71" spans="1:8" x14ac:dyDescent="0.2">
      <c r="A71" s="2" t="s">
        <v>55</v>
      </c>
      <c r="B71" s="4">
        <v>33</v>
      </c>
      <c r="C71" s="5">
        <v>0.9</v>
      </c>
      <c r="D71" s="4">
        <v>4</v>
      </c>
      <c r="E71" s="5">
        <v>0.2</v>
      </c>
      <c r="F71" s="4">
        <v>29</v>
      </c>
      <c r="G71" s="5">
        <v>1.77</v>
      </c>
      <c r="H71" s="4">
        <v>0</v>
      </c>
    </row>
    <row r="72" spans="1:8" x14ac:dyDescent="0.2">
      <c r="A72" s="2" t="s">
        <v>56</v>
      </c>
      <c r="B72" s="4">
        <v>40</v>
      </c>
      <c r="C72" s="5">
        <v>1.0900000000000001</v>
      </c>
      <c r="D72" s="4">
        <v>6</v>
      </c>
      <c r="E72" s="5">
        <v>0.3</v>
      </c>
      <c r="F72" s="4">
        <v>34</v>
      </c>
      <c r="G72" s="5">
        <v>2.08</v>
      </c>
      <c r="H72" s="4">
        <v>0</v>
      </c>
    </row>
    <row r="73" spans="1:8" x14ac:dyDescent="0.2">
      <c r="A73" s="2" t="s">
        <v>57</v>
      </c>
      <c r="B73" s="4">
        <v>963</v>
      </c>
      <c r="C73" s="5">
        <v>26.3</v>
      </c>
      <c r="D73" s="4">
        <v>506</v>
      </c>
      <c r="E73" s="5">
        <v>25.1</v>
      </c>
      <c r="F73" s="4">
        <v>457</v>
      </c>
      <c r="G73" s="5">
        <v>27.9</v>
      </c>
      <c r="H73" s="4">
        <v>0</v>
      </c>
    </row>
    <row r="74" spans="1:8" x14ac:dyDescent="0.2">
      <c r="A74" s="2" t="s">
        <v>58</v>
      </c>
      <c r="B74" s="4">
        <v>14</v>
      </c>
      <c r="C74" s="5">
        <v>0.38</v>
      </c>
      <c r="D74" s="4">
        <v>2</v>
      </c>
      <c r="E74" s="5">
        <v>0.1</v>
      </c>
      <c r="F74" s="4">
        <v>12</v>
      </c>
      <c r="G74" s="5">
        <v>0.73</v>
      </c>
      <c r="H74" s="4">
        <v>0</v>
      </c>
    </row>
    <row r="75" spans="1:8" x14ac:dyDescent="0.2">
      <c r="A75" s="2" t="s">
        <v>59</v>
      </c>
      <c r="B75" s="4">
        <v>424</v>
      </c>
      <c r="C75" s="5">
        <v>11.58</v>
      </c>
      <c r="D75" s="4">
        <v>163</v>
      </c>
      <c r="E75" s="5">
        <v>8.09</v>
      </c>
      <c r="F75" s="4">
        <v>260</v>
      </c>
      <c r="G75" s="5">
        <v>15.87</v>
      </c>
      <c r="H75" s="4">
        <v>1</v>
      </c>
    </row>
    <row r="76" spans="1:8" x14ac:dyDescent="0.2">
      <c r="A76" s="2" t="s">
        <v>60</v>
      </c>
      <c r="B76" s="4">
        <v>157</v>
      </c>
      <c r="C76" s="5">
        <v>4.29</v>
      </c>
      <c r="D76" s="4">
        <v>95</v>
      </c>
      <c r="E76" s="5">
        <v>4.71</v>
      </c>
      <c r="F76" s="4">
        <v>61</v>
      </c>
      <c r="G76" s="5">
        <v>3.72</v>
      </c>
      <c r="H76" s="4">
        <v>0</v>
      </c>
    </row>
    <row r="77" spans="1:8" x14ac:dyDescent="0.2">
      <c r="A77" s="2" t="s">
        <v>61</v>
      </c>
      <c r="B77" s="4">
        <v>674</v>
      </c>
      <c r="C77" s="5">
        <v>18.41</v>
      </c>
      <c r="D77" s="4">
        <v>615</v>
      </c>
      <c r="E77" s="5">
        <v>30.51</v>
      </c>
      <c r="F77" s="4">
        <v>59</v>
      </c>
      <c r="G77" s="5">
        <v>3.6</v>
      </c>
      <c r="H77" s="4">
        <v>0</v>
      </c>
    </row>
    <row r="78" spans="1:8" x14ac:dyDescent="0.2">
      <c r="A78" s="2" t="s">
        <v>62</v>
      </c>
      <c r="B78" s="4">
        <v>330</v>
      </c>
      <c r="C78" s="5">
        <v>9.01</v>
      </c>
      <c r="D78" s="4">
        <v>262</v>
      </c>
      <c r="E78" s="5">
        <v>13</v>
      </c>
      <c r="F78" s="4">
        <v>67</v>
      </c>
      <c r="G78" s="5">
        <v>4.09</v>
      </c>
      <c r="H78" s="4">
        <v>1</v>
      </c>
    </row>
    <row r="79" spans="1:8" x14ac:dyDescent="0.2">
      <c r="A79" s="2" t="s">
        <v>63</v>
      </c>
      <c r="B79" s="4">
        <v>59</v>
      </c>
      <c r="C79" s="5">
        <v>1.61</v>
      </c>
      <c r="D79" s="4">
        <v>48</v>
      </c>
      <c r="E79" s="5">
        <v>2.38</v>
      </c>
      <c r="F79" s="4">
        <v>10</v>
      </c>
      <c r="G79" s="5">
        <v>0.61</v>
      </c>
      <c r="H79" s="4">
        <v>1</v>
      </c>
    </row>
    <row r="80" spans="1:8" x14ac:dyDescent="0.2">
      <c r="A80" s="2" t="s">
        <v>64</v>
      </c>
      <c r="B80" s="4">
        <v>157</v>
      </c>
      <c r="C80" s="5">
        <v>4.29</v>
      </c>
      <c r="D80" s="4">
        <v>97</v>
      </c>
      <c r="E80" s="5">
        <v>4.8099999999999996</v>
      </c>
      <c r="F80" s="4">
        <v>59</v>
      </c>
      <c r="G80" s="5">
        <v>3.6</v>
      </c>
      <c r="H80" s="4">
        <v>0</v>
      </c>
    </row>
    <row r="81" spans="1:8" x14ac:dyDescent="0.2">
      <c r="A81" s="2" t="s">
        <v>65</v>
      </c>
      <c r="B81" s="4">
        <v>104</v>
      </c>
      <c r="C81" s="5">
        <v>2.84</v>
      </c>
      <c r="D81" s="4">
        <v>36</v>
      </c>
      <c r="E81" s="5">
        <v>1.79</v>
      </c>
      <c r="F81" s="4">
        <v>65</v>
      </c>
      <c r="G81" s="5">
        <v>3.97</v>
      </c>
      <c r="H81" s="4">
        <v>2</v>
      </c>
    </row>
    <row r="82" spans="1:8" x14ac:dyDescent="0.2">
      <c r="A82" s="1" t="s">
        <v>5</v>
      </c>
      <c r="B82" s="4">
        <v>3202</v>
      </c>
      <c r="C82" s="5">
        <v>100</v>
      </c>
      <c r="D82" s="4">
        <v>1900</v>
      </c>
      <c r="E82" s="5">
        <v>99.999999999999986</v>
      </c>
      <c r="F82" s="4">
        <v>1296</v>
      </c>
      <c r="G82" s="5">
        <v>99.99</v>
      </c>
      <c r="H82" s="4">
        <v>3</v>
      </c>
    </row>
    <row r="83" spans="1:8" x14ac:dyDescent="0.2">
      <c r="A83" s="2" t="s">
        <v>51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52</v>
      </c>
      <c r="B84" s="4">
        <v>266</v>
      </c>
      <c r="C84" s="5">
        <v>8.31</v>
      </c>
      <c r="D84" s="4">
        <v>75</v>
      </c>
      <c r="E84" s="5">
        <v>3.95</v>
      </c>
      <c r="F84" s="4">
        <v>191</v>
      </c>
      <c r="G84" s="5">
        <v>14.74</v>
      </c>
      <c r="H84" s="4">
        <v>0</v>
      </c>
    </row>
    <row r="85" spans="1:8" x14ac:dyDescent="0.2">
      <c r="A85" s="2" t="s">
        <v>53</v>
      </c>
      <c r="B85" s="4">
        <v>678</v>
      </c>
      <c r="C85" s="5">
        <v>21.17</v>
      </c>
      <c r="D85" s="4">
        <v>392</v>
      </c>
      <c r="E85" s="5">
        <v>20.63</v>
      </c>
      <c r="F85" s="4">
        <v>286</v>
      </c>
      <c r="G85" s="5">
        <v>22.07</v>
      </c>
      <c r="H85" s="4">
        <v>0</v>
      </c>
    </row>
    <row r="86" spans="1:8" x14ac:dyDescent="0.2">
      <c r="A86" s="2" t="s">
        <v>54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2">
      <c r="A87" s="2" t="s">
        <v>55</v>
      </c>
      <c r="B87" s="4">
        <v>9</v>
      </c>
      <c r="C87" s="5">
        <v>0.28000000000000003</v>
      </c>
      <c r="D87" s="4">
        <v>0</v>
      </c>
      <c r="E87" s="5">
        <v>0</v>
      </c>
      <c r="F87" s="4">
        <v>9</v>
      </c>
      <c r="G87" s="5">
        <v>0.69</v>
      </c>
      <c r="H87" s="4">
        <v>0</v>
      </c>
    </row>
    <row r="88" spans="1:8" x14ac:dyDescent="0.2">
      <c r="A88" s="2" t="s">
        <v>56</v>
      </c>
      <c r="B88" s="4">
        <v>33</v>
      </c>
      <c r="C88" s="5">
        <v>1.03</v>
      </c>
      <c r="D88" s="4">
        <v>13</v>
      </c>
      <c r="E88" s="5">
        <v>0.68</v>
      </c>
      <c r="F88" s="4">
        <v>20</v>
      </c>
      <c r="G88" s="5">
        <v>1.54</v>
      </c>
      <c r="H88" s="4">
        <v>0</v>
      </c>
    </row>
    <row r="89" spans="1:8" x14ac:dyDescent="0.2">
      <c r="A89" s="2" t="s">
        <v>57</v>
      </c>
      <c r="B89" s="4">
        <v>746</v>
      </c>
      <c r="C89" s="5">
        <v>23.3</v>
      </c>
      <c r="D89" s="4">
        <v>393</v>
      </c>
      <c r="E89" s="5">
        <v>20.68</v>
      </c>
      <c r="F89" s="4">
        <v>353</v>
      </c>
      <c r="G89" s="5">
        <v>27.24</v>
      </c>
      <c r="H89" s="4">
        <v>0</v>
      </c>
    </row>
    <row r="90" spans="1:8" x14ac:dyDescent="0.2">
      <c r="A90" s="2" t="s">
        <v>58</v>
      </c>
      <c r="B90" s="4">
        <v>9</v>
      </c>
      <c r="C90" s="5">
        <v>0.28000000000000003</v>
      </c>
      <c r="D90" s="4">
        <v>0</v>
      </c>
      <c r="E90" s="5">
        <v>0</v>
      </c>
      <c r="F90" s="4">
        <v>9</v>
      </c>
      <c r="G90" s="5">
        <v>0.69</v>
      </c>
      <c r="H90" s="4">
        <v>0</v>
      </c>
    </row>
    <row r="91" spans="1:8" x14ac:dyDescent="0.2">
      <c r="A91" s="2" t="s">
        <v>59</v>
      </c>
      <c r="B91" s="4">
        <v>292</v>
      </c>
      <c r="C91" s="5">
        <v>9.1199999999999992</v>
      </c>
      <c r="D91" s="4">
        <v>121</v>
      </c>
      <c r="E91" s="5">
        <v>6.37</v>
      </c>
      <c r="F91" s="4">
        <v>171</v>
      </c>
      <c r="G91" s="5">
        <v>13.19</v>
      </c>
      <c r="H91" s="4">
        <v>0</v>
      </c>
    </row>
    <row r="92" spans="1:8" x14ac:dyDescent="0.2">
      <c r="A92" s="2" t="s">
        <v>60</v>
      </c>
      <c r="B92" s="4">
        <v>108</v>
      </c>
      <c r="C92" s="5">
        <v>3.37</v>
      </c>
      <c r="D92" s="4">
        <v>52</v>
      </c>
      <c r="E92" s="5">
        <v>2.74</v>
      </c>
      <c r="F92" s="4">
        <v>56</v>
      </c>
      <c r="G92" s="5">
        <v>4.32</v>
      </c>
      <c r="H92" s="4">
        <v>0</v>
      </c>
    </row>
    <row r="93" spans="1:8" x14ac:dyDescent="0.2">
      <c r="A93" s="2" t="s">
        <v>61</v>
      </c>
      <c r="B93" s="4">
        <v>463</v>
      </c>
      <c r="C93" s="5">
        <v>14.46</v>
      </c>
      <c r="D93" s="4">
        <v>431</v>
      </c>
      <c r="E93" s="5">
        <v>22.68</v>
      </c>
      <c r="F93" s="4">
        <v>32</v>
      </c>
      <c r="G93" s="5">
        <v>2.4700000000000002</v>
      </c>
      <c r="H93" s="4">
        <v>0</v>
      </c>
    </row>
    <row r="94" spans="1:8" x14ac:dyDescent="0.2">
      <c r="A94" s="2" t="s">
        <v>62</v>
      </c>
      <c r="B94" s="4">
        <v>291</v>
      </c>
      <c r="C94" s="5">
        <v>9.09</v>
      </c>
      <c r="D94" s="4">
        <v>246</v>
      </c>
      <c r="E94" s="5">
        <v>12.95</v>
      </c>
      <c r="F94" s="4">
        <v>45</v>
      </c>
      <c r="G94" s="5">
        <v>3.47</v>
      </c>
      <c r="H94" s="4">
        <v>0</v>
      </c>
    </row>
    <row r="95" spans="1:8" x14ac:dyDescent="0.2">
      <c r="A95" s="2" t="s">
        <v>63</v>
      </c>
      <c r="B95" s="4">
        <v>58</v>
      </c>
      <c r="C95" s="5">
        <v>1.81</v>
      </c>
      <c r="D95" s="4">
        <v>48</v>
      </c>
      <c r="E95" s="5">
        <v>2.5299999999999998</v>
      </c>
      <c r="F95" s="4">
        <v>8</v>
      </c>
      <c r="G95" s="5">
        <v>0.62</v>
      </c>
      <c r="H95" s="4">
        <v>2</v>
      </c>
    </row>
    <row r="96" spans="1:8" x14ac:dyDescent="0.2">
      <c r="A96" s="2" t="s">
        <v>64</v>
      </c>
      <c r="B96" s="4">
        <v>169</v>
      </c>
      <c r="C96" s="5">
        <v>5.28</v>
      </c>
      <c r="D96" s="4">
        <v>98</v>
      </c>
      <c r="E96" s="5">
        <v>5.16</v>
      </c>
      <c r="F96" s="4">
        <v>70</v>
      </c>
      <c r="G96" s="5">
        <v>5.4</v>
      </c>
      <c r="H96" s="4">
        <v>0</v>
      </c>
    </row>
    <row r="97" spans="1:8" x14ac:dyDescent="0.2">
      <c r="A97" s="2" t="s">
        <v>65</v>
      </c>
      <c r="B97" s="4">
        <v>80</v>
      </c>
      <c r="C97" s="5">
        <v>2.5</v>
      </c>
      <c r="D97" s="4">
        <v>31</v>
      </c>
      <c r="E97" s="5">
        <v>1.63</v>
      </c>
      <c r="F97" s="4">
        <v>46</v>
      </c>
      <c r="G97" s="5">
        <v>3.55</v>
      </c>
      <c r="H97" s="4">
        <v>1</v>
      </c>
    </row>
    <row r="98" spans="1:8" x14ac:dyDescent="0.2">
      <c r="A98" s="1" t="s">
        <v>6</v>
      </c>
      <c r="B98" s="4">
        <v>2250</v>
      </c>
      <c r="C98" s="5">
        <v>99.98</v>
      </c>
      <c r="D98" s="4">
        <v>1120</v>
      </c>
      <c r="E98" s="5">
        <v>100.02</v>
      </c>
      <c r="F98" s="4">
        <v>1127</v>
      </c>
      <c r="G98" s="5">
        <v>99.999999999999986</v>
      </c>
      <c r="H98" s="4">
        <v>1</v>
      </c>
    </row>
    <row r="99" spans="1:8" x14ac:dyDescent="0.2">
      <c r="A99" s="2" t="s">
        <v>51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52</v>
      </c>
      <c r="B100" s="4">
        <v>226</v>
      </c>
      <c r="C100" s="5">
        <v>10.039999999999999</v>
      </c>
      <c r="D100" s="4">
        <v>54</v>
      </c>
      <c r="E100" s="5">
        <v>4.82</v>
      </c>
      <c r="F100" s="4">
        <v>172</v>
      </c>
      <c r="G100" s="5">
        <v>15.26</v>
      </c>
      <c r="H100" s="4">
        <v>0</v>
      </c>
    </row>
    <row r="101" spans="1:8" x14ac:dyDescent="0.2">
      <c r="A101" s="2" t="s">
        <v>53</v>
      </c>
      <c r="B101" s="4">
        <v>147</v>
      </c>
      <c r="C101" s="5">
        <v>6.53</v>
      </c>
      <c r="D101" s="4">
        <v>74</v>
      </c>
      <c r="E101" s="5">
        <v>6.61</v>
      </c>
      <c r="F101" s="4">
        <v>73</v>
      </c>
      <c r="G101" s="5">
        <v>6.48</v>
      </c>
      <c r="H101" s="4">
        <v>0</v>
      </c>
    </row>
    <row r="102" spans="1:8" x14ac:dyDescent="0.2">
      <c r="A102" s="2" t="s">
        <v>54</v>
      </c>
      <c r="B102" s="4">
        <v>3</v>
      </c>
      <c r="C102" s="5">
        <v>0.13</v>
      </c>
      <c r="D102" s="4">
        <v>0</v>
      </c>
      <c r="E102" s="5">
        <v>0</v>
      </c>
      <c r="F102" s="4">
        <v>3</v>
      </c>
      <c r="G102" s="5">
        <v>0.27</v>
      </c>
      <c r="H102" s="4">
        <v>0</v>
      </c>
    </row>
    <row r="103" spans="1:8" x14ac:dyDescent="0.2">
      <c r="A103" s="2" t="s">
        <v>55</v>
      </c>
      <c r="B103" s="4">
        <v>30</v>
      </c>
      <c r="C103" s="5">
        <v>1.33</v>
      </c>
      <c r="D103" s="4">
        <v>1</v>
      </c>
      <c r="E103" s="5">
        <v>0.09</v>
      </c>
      <c r="F103" s="4">
        <v>29</v>
      </c>
      <c r="G103" s="5">
        <v>2.57</v>
      </c>
      <c r="H103" s="4">
        <v>0</v>
      </c>
    </row>
    <row r="104" spans="1:8" x14ac:dyDescent="0.2">
      <c r="A104" s="2" t="s">
        <v>56</v>
      </c>
      <c r="B104" s="4">
        <v>47</v>
      </c>
      <c r="C104" s="5">
        <v>2.09</v>
      </c>
      <c r="D104" s="4">
        <v>17</v>
      </c>
      <c r="E104" s="5">
        <v>1.52</v>
      </c>
      <c r="F104" s="4">
        <v>30</v>
      </c>
      <c r="G104" s="5">
        <v>2.66</v>
      </c>
      <c r="H104" s="4">
        <v>0</v>
      </c>
    </row>
    <row r="105" spans="1:8" x14ac:dyDescent="0.2">
      <c r="A105" s="2" t="s">
        <v>57</v>
      </c>
      <c r="B105" s="4">
        <v>502</v>
      </c>
      <c r="C105" s="5">
        <v>22.31</v>
      </c>
      <c r="D105" s="4">
        <v>212</v>
      </c>
      <c r="E105" s="5">
        <v>18.93</v>
      </c>
      <c r="F105" s="4">
        <v>290</v>
      </c>
      <c r="G105" s="5">
        <v>25.73</v>
      </c>
      <c r="H105" s="4">
        <v>0</v>
      </c>
    </row>
    <row r="106" spans="1:8" x14ac:dyDescent="0.2">
      <c r="A106" s="2" t="s">
        <v>58</v>
      </c>
      <c r="B106" s="4">
        <v>11</v>
      </c>
      <c r="C106" s="5">
        <v>0.49</v>
      </c>
      <c r="D106" s="4">
        <v>2</v>
      </c>
      <c r="E106" s="5">
        <v>0.18</v>
      </c>
      <c r="F106" s="4">
        <v>9</v>
      </c>
      <c r="G106" s="5">
        <v>0.8</v>
      </c>
      <c r="H106" s="4">
        <v>0</v>
      </c>
    </row>
    <row r="107" spans="1:8" x14ac:dyDescent="0.2">
      <c r="A107" s="2" t="s">
        <v>59</v>
      </c>
      <c r="B107" s="4">
        <v>301</v>
      </c>
      <c r="C107" s="5">
        <v>13.38</v>
      </c>
      <c r="D107" s="4">
        <v>74</v>
      </c>
      <c r="E107" s="5">
        <v>6.61</v>
      </c>
      <c r="F107" s="4">
        <v>227</v>
      </c>
      <c r="G107" s="5">
        <v>20.14</v>
      </c>
      <c r="H107" s="4">
        <v>0</v>
      </c>
    </row>
    <row r="108" spans="1:8" x14ac:dyDescent="0.2">
      <c r="A108" s="2" t="s">
        <v>60</v>
      </c>
      <c r="B108" s="4">
        <v>132</v>
      </c>
      <c r="C108" s="5">
        <v>5.87</v>
      </c>
      <c r="D108" s="4">
        <v>55</v>
      </c>
      <c r="E108" s="5">
        <v>4.91</v>
      </c>
      <c r="F108" s="4">
        <v>76</v>
      </c>
      <c r="G108" s="5">
        <v>6.74</v>
      </c>
      <c r="H108" s="4">
        <v>0</v>
      </c>
    </row>
    <row r="109" spans="1:8" x14ac:dyDescent="0.2">
      <c r="A109" s="2" t="s">
        <v>61</v>
      </c>
      <c r="B109" s="4">
        <v>309</v>
      </c>
      <c r="C109" s="5">
        <v>13.73</v>
      </c>
      <c r="D109" s="4">
        <v>269</v>
      </c>
      <c r="E109" s="5">
        <v>24.02</v>
      </c>
      <c r="F109" s="4">
        <v>40</v>
      </c>
      <c r="G109" s="5">
        <v>3.55</v>
      </c>
      <c r="H109" s="4">
        <v>0</v>
      </c>
    </row>
    <row r="110" spans="1:8" x14ac:dyDescent="0.2">
      <c r="A110" s="2" t="s">
        <v>62</v>
      </c>
      <c r="B110" s="4">
        <v>237</v>
      </c>
      <c r="C110" s="5">
        <v>10.53</v>
      </c>
      <c r="D110" s="4">
        <v>186</v>
      </c>
      <c r="E110" s="5">
        <v>16.61</v>
      </c>
      <c r="F110" s="4">
        <v>51</v>
      </c>
      <c r="G110" s="5">
        <v>4.53</v>
      </c>
      <c r="H110" s="4">
        <v>0</v>
      </c>
    </row>
    <row r="111" spans="1:8" x14ac:dyDescent="0.2">
      <c r="A111" s="2" t="s">
        <v>63</v>
      </c>
      <c r="B111" s="4">
        <v>95</v>
      </c>
      <c r="C111" s="5">
        <v>4.22</v>
      </c>
      <c r="D111" s="4">
        <v>70</v>
      </c>
      <c r="E111" s="5">
        <v>6.25</v>
      </c>
      <c r="F111" s="4">
        <v>24</v>
      </c>
      <c r="G111" s="5">
        <v>2.13</v>
      </c>
      <c r="H111" s="4">
        <v>1</v>
      </c>
    </row>
    <row r="112" spans="1:8" x14ac:dyDescent="0.2">
      <c r="A112" s="2" t="s">
        <v>64</v>
      </c>
      <c r="B112" s="4">
        <v>145</v>
      </c>
      <c r="C112" s="5">
        <v>6.44</v>
      </c>
      <c r="D112" s="4">
        <v>87</v>
      </c>
      <c r="E112" s="5">
        <v>7.77</v>
      </c>
      <c r="F112" s="4">
        <v>57</v>
      </c>
      <c r="G112" s="5">
        <v>5.0599999999999996</v>
      </c>
      <c r="H112" s="4">
        <v>0</v>
      </c>
    </row>
    <row r="113" spans="1:8" x14ac:dyDescent="0.2">
      <c r="A113" s="2" t="s">
        <v>65</v>
      </c>
      <c r="B113" s="4">
        <v>65</v>
      </c>
      <c r="C113" s="5">
        <v>2.89</v>
      </c>
      <c r="D113" s="4">
        <v>19</v>
      </c>
      <c r="E113" s="5">
        <v>1.7</v>
      </c>
      <c r="F113" s="4">
        <v>46</v>
      </c>
      <c r="G113" s="5">
        <v>4.08</v>
      </c>
      <c r="H113" s="4">
        <v>0</v>
      </c>
    </row>
    <row r="114" spans="1:8" x14ac:dyDescent="0.2">
      <c r="A114" s="1" t="s">
        <v>7</v>
      </c>
      <c r="B114" s="4">
        <v>2568</v>
      </c>
      <c r="C114" s="5">
        <v>99.99</v>
      </c>
      <c r="D114" s="4">
        <v>1249</v>
      </c>
      <c r="E114" s="5">
        <v>99.999999999999986</v>
      </c>
      <c r="F114" s="4">
        <v>1312</v>
      </c>
      <c r="G114" s="5">
        <v>99.990000000000009</v>
      </c>
      <c r="H114" s="4">
        <v>3</v>
      </c>
    </row>
    <row r="115" spans="1:8" x14ac:dyDescent="0.2">
      <c r="A115" s="2" t="s">
        <v>51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52</v>
      </c>
      <c r="B116" s="4">
        <v>281</v>
      </c>
      <c r="C116" s="5">
        <v>10.94</v>
      </c>
      <c r="D116" s="4">
        <v>52</v>
      </c>
      <c r="E116" s="5">
        <v>4.16</v>
      </c>
      <c r="F116" s="4">
        <v>229</v>
      </c>
      <c r="G116" s="5">
        <v>17.45</v>
      </c>
      <c r="H116" s="4">
        <v>0</v>
      </c>
    </row>
    <row r="117" spans="1:8" x14ac:dyDescent="0.2">
      <c r="A117" s="2" t="s">
        <v>53</v>
      </c>
      <c r="B117" s="4">
        <v>74</v>
      </c>
      <c r="C117" s="5">
        <v>2.88</v>
      </c>
      <c r="D117" s="4">
        <v>30</v>
      </c>
      <c r="E117" s="5">
        <v>2.4</v>
      </c>
      <c r="F117" s="4">
        <v>44</v>
      </c>
      <c r="G117" s="5">
        <v>3.35</v>
      </c>
      <c r="H117" s="4">
        <v>0</v>
      </c>
    </row>
    <row r="118" spans="1:8" x14ac:dyDescent="0.2">
      <c r="A118" s="2" t="s">
        <v>54</v>
      </c>
      <c r="B118" s="4">
        <v>2</v>
      </c>
      <c r="C118" s="5">
        <v>0.08</v>
      </c>
      <c r="D118" s="4">
        <v>0</v>
      </c>
      <c r="E118" s="5">
        <v>0</v>
      </c>
      <c r="F118" s="4">
        <v>2</v>
      </c>
      <c r="G118" s="5">
        <v>0.15</v>
      </c>
      <c r="H118" s="4">
        <v>0</v>
      </c>
    </row>
    <row r="119" spans="1:8" x14ac:dyDescent="0.2">
      <c r="A119" s="2" t="s">
        <v>55</v>
      </c>
      <c r="B119" s="4">
        <v>25</v>
      </c>
      <c r="C119" s="5">
        <v>0.97</v>
      </c>
      <c r="D119" s="4">
        <v>0</v>
      </c>
      <c r="E119" s="5">
        <v>0</v>
      </c>
      <c r="F119" s="4">
        <v>25</v>
      </c>
      <c r="G119" s="5">
        <v>1.91</v>
      </c>
      <c r="H119" s="4">
        <v>0</v>
      </c>
    </row>
    <row r="120" spans="1:8" x14ac:dyDescent="0.2">
      <c r="A120" s="2" t="s">
        <v>56</v>
      </c>
      <c r="B120" s="4">
        <v>22</v>
      </c>
      <c r="C120" s="5">
        <v>0.86</v>
      </c>
      <c r="D120" s="4">
        <v>3</v>
      </c>
      <c r="E120" s="5">
        <v>0.24</v>
      </c>
      <c r="F120" s="4">
        <v>19</v>
      </c>
      <c r="G120" s="5">
        <v>1.45</v>
      </c>
      <c r="H120" s="4">
        <v>0</v>
      </c>
    </row>
    <row r="121" spans="1:8" x14ac:dyDescent="0.2">
      <c r="A121" s="2" t="s">
        <v>57</v>
      </c>
      <c r="B121" s="4">
        <v>593</v>
      </c>
      <c r="C121" s="5">
        <v>23.09</v>
      </c>
      <c r="D121" s="4">
        <v>264</v>
      </c>
      <c r="E121" s="5">
        <v>21.14</v>
      </c>
      <c r="F121" s="4">
        <v>329</v>
      </c>
      <c r="G121" s="5">
        <v>25.08</v>
      </c>
      <c r="H121" s="4">
        <v>0</v>
      </c>
    </row>
    <row r="122" spans="1:8" x14ac:dyDescent="0.2">
      <c r="A122" s="2" t="s">
        <v>58</v>
      </c>
      <c r="B122" s="4">
        <v>27</v>
      </c>
      <c r="C122" s="5">
        <v>1.05</v>
      </c>
      <c r="D122" s="4">
        <v>1</v>
      </c>
      <c r="E122" s="5">
        <v>0.08</v>
      </c>
      <c r="F122" s="4">
        <v>26</v>
      </c>
      <c r="G122" s="5">
        <v>1.98</v>
      </c>
      <c r="H122" s="4">
        <v>0</v>
      </c>
    </row>
    <row r="123" spans="1:8" x14ac:dyDescent="0.2">
      <c r="A123" s="2" t="s">
        <v>59</v>
      </c>
      <c r="B123" s="4">
        <v>350</v>
      </c>
      <c r="C123" s="5">
        <v>13.63</v>
      </c>
      <c r="D123" s="4">
        <v>74</v>
      </c>
      <c r="E123" s="5">
        <v>5.92</v>
      </c>
      <c r="F123" s="4">
        <v>274</v>
      </c>
      <c r="G123" s="5">
        <v>20.88</v>
      </c>
      <c r="H123" s="4">
        <v>2</v>
      </c>
    </row>
    <row r="124" spans="1:8" x14ac:dyDescent="0.2">
      <c r="A124" s="2" t="s">
        <v>60</v>
      </c>
      <c r="B124" s="4">
        <v>130</v>
      </c>
      <c r="C124" s="5">
        <v>5.0599999999999996</v>
      </c>
      <c r="D124" s="4">
        <v>62</v>
      </c>
      <c r="E124" s="5">
        <v>4.96</v>
      </c>
      <c r="F124" s="4">
        <v>68</v>
      </c>
      <c r="G124" s="5">
        <v>5.18</v>
      </c>
      <c r="H124" s="4">
        <v>0</v>
      </c>
    </row>
    <row r="125" spans="1:8" x14ac:dyDescent="0.2">
      <c r="A125" s="2" t="s">
        <v>61</v>
      </c>
      <c r="B125" s="4">
        <v>285</v>
      </c>
      <c r="C125" s="5">
        <v>11.1</v>
      </c>
      <c r="D125" s="4">
        <v>239</v>
      </c>
      <c r="E125" s="5">
        <v>19.14</v>
      </c>
      <c r="F125" s="4">
        <v>45</v>
      </c>
      <c r="G125" s="5">
        <v>3.43</v>
      </c>
      <c r="H125" s="4">
        <v>0</v>
      </c>
    </row>
    <row r="126" spans="1:8" x14ac:dyDescent="0.2">
      <c r="A126" s="2" t="s">
        <v>62</v>
      </c>
      <c r="B126" s="4">
        <v>371</v>
      </c>
      <c r="C126" s="5">
        <v>14.45</v>
      </c>
      <c r="D126" s="4">
        <v>297</v>
      </c>
      <c r="E126" s="5">
        <v>23.78</v>
      </c>
      <c r="F126" s="4">
        <v>74</v>
      </c>
      <c r="G126" s="5">
        <v>5.64</v>
      </c>
      <c r="H126" s="4">
        <v>0</v>
      </c>
    </row>
    <row r="127" spans="1:8" x14ac:dyDescent="0.2">
      <c r="A127" s="2" t="s">
        <v>63</v>
      </c>
      <c r="B127" s="4">
        <v>157</v>
      </c>
      <c r="C127" s="5">
        <v>6.11</v>
      </c>
      <c r="D127" s="4">
        <v>114</v>
      </c>
      <c r="E127" s="5">
        <v>9.1300000000000008</v>
      </c>
      <c r="F127" s="4">
        <v>42</v>
      </c>
      <c r="G127" s="5">
        <v>3.2</v>
      </c>
      <c r="H127" s="4">
        <v>1</v>
      </c>
    </row>
    <row r="128" spans="1:8" x14ac:dyDescent="0.2">
      <c r="A128" s="2" t="s">
        <v>64</v>
      </c>
      <c r="B128" s="4">
        <v>185</v>
      </c>
      <c r="C128" s="5">
        <v>7.2</v>
      </c>
      <c r="D128" s="4">
        <v>90</v>
      </c>
      <c r="E128" s="5">
        <v>7.21</v>
      </c>
      <c r="F128" s="4">
        <v>94</v>
      </c>
      <c r="G128" s="5">
        <v>7.16</v>
      </c>
      <c r="H128" s="4">
        <v>0</v>
      </c>
    </row>
    <row r="129" spans="1:8" x14ac:dyDescent="0.2">
      <c r="A129" s="2" t="s">
        <v>65</v>
      </c>
      <c r="B129" s="4">
        <v>66</v>
      </c>
      <c r="C129" s="5">
        <v>2.57</v>
      </c>
      <c r="D129" s="4">
        <v>23</v>
      </c>
      <c r="E129" s="5">
        <v>1.84</v>
      </c>
      <c r="F129" s="4">
        <v>41</v>
      </c>
      <c r="G129" s="5">
        <v>3.13</v>
      </c>
      <c r="H129" s="4">
        <v>0</v>
      </c>
    </row>
    <row r="130" spans="1:8" x14ac:dyDescent="0.2">
      <c r="A130" s="1" t="s">
        <v>8</v>
      </c>
      <c r="B130" s="4">
        <v>2658</v>
      </c>
      <c r="C130" s="5">
        <v>99.97</v>
      </c>
      <c r="D130" s="4">
        <v>1161</v>
      </c>
      <c r="E130" s="5">
        <v>100.02000000000001</v>
      </c>
      <c r="F130" s="4">
        <v>1488</v>
      </c>
      <c r="G130" s="5">
        <v>99.999999999999986</v>
      </c>
      <c r="H130" s="4">
        <v>4</v>
      </c>
    </row>
    <row r="131" spans="1:8" x14ac:dyDescent="0.2">
      <c r="A131" s="2" t="s">
        <v>51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52</v>
      </c>
      <c r="B132" s="4">
        <v>344</v>
      </c>
      <c r="C132" s="5">
        <v>12.94</v>
      </c>
      <c r="D132" s="4">
        <v>69</v>
      </c>
      <c r="E132" s="5">
        <v>5.94</v>
      </c>
      <c r="F132" s="4">
        <v>275</v>
      </c>
      <c r="G132" s="5">
        <v>18.48</v>
      </c>
      <c r="H132" s="4">
        <v>0</v>
      </c>
    </row>
    <row r="133" spans="1:8" x14ac:dyDescent="0.2">
      <c r="A133" s="2" t="s">
        <v>53</v>
      </c>
      <c r="B133" s="4">
        <v>125</v>
      </c>
      <c r="C133" s="5">
        <v>4.7</v>
      </c>
      <c r="D133" s="4">
        <v>37</v>
      </c>
      <c r="E133" s="5">
        <v>3.19</v>
      </c>
      <c r="F133" s="4">
        <v>88</v>
      </c>
      <c r="G133" s="5">
        <v>5.91</v>
      </c>
      <c r="H133" s="4">
        <v>0</v>
      </c>
    </row>
    <row r="134" spans="1:8" x14ac:dyDescent="0.2">
      <c r="A134" s="2" t="s">
        <v>54</v>
      </c>
      <c r="B134" s="4">
        <v>9</v>
      </c>
      <c r="C134" s="5">
        <v>0.34</v>
      </c>
      <c r="D134" s="4">
        <v>0</v>
      </c>
      <c r="E134" s="5">
        <v>0</v>
      </c>
      <c r="F134" s="4">
        <v>9</v>
      </c>
      <c r="G134" s="5">
        <v>0.6</v>
      </c>
      <c r="H134" s="4">
        <v>0</v>
      </c>
    </row>
    <row r="135" spans="1:8" x14ac:dyDescent="0.2">
      <c r="A135" s="2" t="s">
        <v>55</v>
      </c>
      <c r="B135" s="4">
        <v>36</v>
      </c>
      <c r="C135" s="5">
        <v>1.35</v>
      </c>
      <c r="D135" s="4">
        <v>1</v>
      </c>
      <c r="E135" s="5">
        <v>0.09</v>
      </c>
      <c r="F135" s="4">
        <v>35</v>
      </c>
      <c r="G135" s="5">
        <v>2.35</v>
      </c>
      <c r="H135" s="4">
        <v>0</v>
      </c>
    </row>
    <row r="136" spans="1:8" x14ac:dyDescent="0.2">
      <c r="A136" s="2" t="s">
        <v>56</v>
      </c>
      <c r="B136" s="4">
        <v>33</v>
      </c>
      <c r="C136" s="5">
        <v>1.24</v>
      </c>
      <c r="D136" s="4">
        <v>14</v>
      </c>
      <c r="E136" s="5">
        <v>1.21</v>
      </c>
      <c r="F136" s="4">
        <v>19</v>
      </c>
      <c r="G136" s="5">
        <v>1.28</v>
      </c>
      <c r="H136" s="4">
        <v>0</v>
      </c>
    </row>
    <row r="137" spans="1:8" x14ac:dyDescent="0.2">
      <c r="A137" s="2" t="s">
        <v>57</v>
      </c>
      <c r="B137" s="4">
        <v>608</v>
      </c>
      <c r="C137" s="5">
        <v>22.87</v>
      </c>
      <c r="D137" s="4">
        <v>210</v>
      </c>
      <c r="E137" s="5">
        <v>18.09</v>
      </c>
      <c r="F137" s="4">
        <v>397</v>
      </c>
      <c r="G137" s="5">
        <v>26.68</v>
      </c>
      <c r="H137" s="4">
        <v>1</v>
      </c>
    </row>
    <row r="138" spans="1:8" x14ac:dyDescent="0.2">
      <c r="A138" s="2" t="s">
        <v>58</v>
      </c>
      <c r="B138" s="4">
        <v>20</v>
      </c>
      <c r="C138" s="5">
        <v>0.75</v>
      </c>
      <c r="D138" s="4">
        <v>1</v>
      </c>
      <c r="E138" s="5">
        <v>0.09</v>
      </c>
      <c r="F138" s="4">
        <v>19</v>
      </c>
      <c r="G138" s="5">
        <v>1.28</v>
      </c>
      <c r="H138" s="4">
        <v>0</v>
      </c>
    </row>
    <row r="139" spans="1:8" x14ac:dyDescent="0.2">
      <c r="A139" s="2" t="s">
        <v>59</v>
      </c>
      <c r="B139" s="4">
        <v>280</v>
      </c>
      <c r="C139" s="5">
        <v>10.53</v>
      </c>
      <c r="D139" s="4">
        <v>58</v>
      </c>
      <c r="E139" s="5">
        <v>5</v>
      </c>
      <c r="F139" s="4">
        <v>222</v>
      </c>
      <c r="G139" s="5">
        <v>14.92</v>
      </c>
      <c r="H139" s="4">
        <v>0</v>
      </c>
    </row>
    <row r="140" spans="1:8" x14ac:dyDescent="0.2">
      <c r="A140" s="2" t="s">
        <v>60</v>
      </c>
      <c r="B140" s="4">
        <v>142</v>
      </c>
      <c r="C140" s="5">
        <v>5.34</v>
      </c>
      <c r="D140" s="4">
        <v>44</v>
      </c>
      <c r="E140" s="5">
        <v>3.79</v>
      </c>
      <c r="F140" s="4">
        <v>97</v>
      </c>
      <c r="G140" s="5">
        <v>6.52</v>
      </c>
      <c r="H140" s="4">
        <v>0</v>
      </c>
    </row>
    <row r="141" spans="1:8" x14ac:dyDescent="0.2">
      <c r="A141" s="2" t="s">
        <v>61</v>
      </c>
      <c r="B141" s="4">
        <v>261</v>
      </c>
      <c r="C141" s="5">
        <v>9.82</v>
      </c>
      <c r="D141" s="4">
        <v>217</v>
      </c>
      <c r="E141" s="5">
        <v>18.690000000000001</v>
      </c>
      <c r="F141" s="4">
        <v>43</v>
      </c>
      <c r="G141" s="5">
        <v>2.89</v>
      </c>
      <c r="H141" s="4">
        <v>0</v>
      </c>
    </row>
    <row r="142" spans="1:8" x14ac:dyDescent="0.2">
      <c r="A142" s="2" t="s">
        <v>62</v>
      </c>
      <c r="B142" s="4">
        <v>355</v>
      </c>
      <c r="C142" s="5">
        <v>13.36</v>
      </c>
      <c r="D142" s="4">
        <v>248</v>
      </c>
      <c r="E142" s="5">
        <v>21.36</v>
      </c>
      <c r="F142" s="4">
        <v>107</v>
      </c>
      <c r="G142" s="5">
        <v>7.19</v>
      </c>
      <c r="H142" s="4">
        <v>0</v>
      </c>
    </row>
    <row r="143" spans="1:8" x14ac:dyDescent="0.2">
      <c r="A143" s="2" t="s">
        <v>63</v>
      </c>
      <c r="B143" s="4">
        <v>175</v>
      </c>
      <c r="C143" s="5">
        <v>6.58</v>
      </c>
      <c r="D143" s="4">
        <v>138</v>
      </c>
      <c r="E143" s="5">
        <v>11.89</v>
      </c>
      <c r="F143" s="4">
        <v>35</v>
      </c>
      <c r="G143" s="5">
        <v>2.35</v>
      </c>
      <c r="H143" s="4">
        <v>1</v>
      </c>
    </row>
    <row r="144" spans="1:8" x14ac:dyDescent="0.2">
      <c r="A144" s="2" t="s">
        <v>64</v>
      </c>
      <c r="B144" s="4">
        <v>179</v>
      </c>
      <c r="C144" s="5">
        <v>6.73</v>
      </c>
      <c r="D144" s="4">
        <v>104</v>
      </c>
      <c r="E144" s="5">
        <v>8.9600000000000009</v>
      </c>
      <c r="F144" s="4">
        <v>73</v>
      </c>
      <c r="G144" s="5">
        <v>4.91</v>
      </c>
      <c r="H144" s="4">
        <v>0</v>
      </c>
    </row>
    <row r="145" spans="1:8" x14ac:dyDescent="0.2">
      <c r="A145" s="2" t="s">
        <v>65</v>
      </c>
      <c r="B145" s="4">
        <v>91</v>
      </c>
      <c r="C145" s="5">
        <v>3.42</v>
      </c>
      <c r="D145" s="4">
        <v>20</v>
      </c>
      <c r="E145" s="5">
        <v>1.72</v>
      </c>
      <c r="F145" s="4">
        <v>69</v>
      </c>
      <c r="G145" s="5">
        <v>4.6399999999999997</v>
      </c>
      <c r="H145" s="4">
        <v>2</v>
      </c>
    </row>
    <row r="146" spans="1:8" x14ac:dyDescent="0.2">
      <c r="A146" s="1" t="s">
        <v>9</v>
      </c>
      <c r="B146" s="4">
        <v>9857</v>
      </c>
      <c r="C146" s="5">
        <v>100.00999999999998</v>
      </c>
      <c r="D146" s="4">
        <v>4387</v>
      </c>
      <c r="E146" s="5">
        <v>99.990000000000009</v>
      </c>
      <c r="F146" s="4">
        <v>5434</v>
      </c>
      <c r="G146" s="5">
        <v>99.999999999999986</v>
      </c>
      <c r="H146" s="4">
        <v>27</v>
      </c>
    </row>
    <row r="147" spans="1:8" x14ac:dyDescent="0.2">
      <c r="A147" s="2" t="s">
        <v>51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52</v>
      </c>
      <c r="B148" s="4">
        <v>463</v>
      </c>
      <c r="C148" s="5">
        <v>4.7</v>
      </c>
      <c r="D148" s="4">
        <v>28</v>
      </c>
      <c r="E148" s="5">
        <v>0.64</v>
      </c>
      <c r="F148" s="4">
        <v>433</v>
      </c>
      <c r="G148" s="5">
        <v>7.97</v>
      </c>
      <c r="H148" s="4">
        <v>2</v>
      </c>
    </row>
    <row r="149" spans="1:8" x14ac:dyDescent="0.2">
      <c r="A149" s="2" t="s">
        <v>53</v>
      </c>
      <c r="B149" s="4">
        <v>301</v>
      </c>
      <c r="C149" s="5">
        <v>3.05</v>
      </c>
      <c r="D149" s="4">
        <v>67</v>
      </c>
      <c r="E149" s="5">
        <v>1.53</v>
      </c>
      <c r="F149" s="4">
        <v>234</v>
      </c>
      <c r="G149" s="5">
        <v>4.3099999999999996</v>
      </c>
      <c r="H149" s="4">
        <v>0</v>
      </c>
    </row>
    <row r="150" spans="1:8" x14ac:dyDescent="0.2">
      <c r="A150" s="2" t="s">
        <v>54</v>
      </c>
      <c r="B150" s="4">
        <v>9</v>
      </c>
      <c r="C150" s="5">
        <v>0.09</v>
      </c>
      <c r="D150" s="4">
        <v>0</v>
      </c>
      <c r="E150" s="5">
        <v>0</v>
      </c>
      <c r="F150" s="4">
        <v>9</v>
      </c>
      <c r="G150" s="5">
        <v>0.17</v>
      </c>
      <c r="H150" s="4">
        <v>0</v>
      </c>
    </row>
    <row r="151" spans="1:8" x14ac:dyDescent="0.2">
      <c r="A151" s="2" t="s">
        <v>55</v>
      </c>
      <c r="B151" s="4">
        <v>177</v>
      </c>
      <c r="C151" s="5">
        <v>1.8</v>
      </c>
      <c r="D151" s="4">
        <v>12</v>
      </c>
      <c r="E151" s="5">
        <v>0.27</v>
      </c>
      <c r="F151" s="4">
        <v>165</v>
      </c>
      <c r="G151" s="5">
        <v>3.04</v>
      </c>
      <c r="H151" s="4">
        <v>0</v>
      </c>
    </row>
    <row r="152" spans="1:8" x14ac:dyDescent="0.2">
      <c r="A152" s="2" t="s">
        <v>56</v>
      </c>
      <c r="B152" s="4">
        <v>190</v>
      </c>
      <c r="C152" s="5">
        <v>1.93</v>
      </c>
      <c r="D152" s="4">
        <v>5</v>
      </c>
      <c r="E152" s="5">
        <v>0.11</v>
      </c>
      <c r="F152" s="4">
        <v>185</v>
      </c>
      <c r="G152" s="5">
        <v>3.4</v>
      </c>
      <c r="H152" s="4">
        <v>0</v>
      </c>
    </row>
    <row r="153" spans="1:8" x14ac:dyDescent="0.2">
      <c r="A153" s="2" t="s">
        <v>57</v>
      </c>
      <c r="B153" s="4">
        <v>2415</v>
      </c>
      <c r="C153" s="5">
        <v>24.5</v>
      </c>
      <c r="D153" s="4">
        <v>699</v>
      </c>
      <c r="E153" s="5">
        <v>15.93</v>
      </c>
      <c r="F153" s="4">
        <v>1714</v>
      </c>
      <c r="G153" s="5">
        <v>31.54</v>
      </c>
      <c r="H153" s="4">
        <v>2</v>
      </c>
    </row>
    <row r="154" spans="1:8" x14ac:dyDescent="0.2">
      <c r="A154" s="2" t="s">
        <v>58</v>
      </c>
      <c r="B154" s="4">
        <v>86</v>
      </c>
      <c r="C154" s="5">
        <v>0.87</v>
      </c>
      <c r="D154" s="4">
        <v>6</v>
      </c>
      <c r="E154" s="5">
        <v>0.14000000000000001</v>
      </c>
      <c r="F154" s="4">
        <v>80</v>
      </c>
      <c r="G154" s="5">
        <v>1.47</v>
      </c>
      <c r="H154" s="4">
        <v>0</v>
      </c>
    </row>
    <row r="155" spans="1:8" x14ac:dyDescent="0.2">
      <c r="A155" s="2" t="s">
        <v>59</v>
      </c>
      <c r="B155" s="4">
        <v>1151</v>
      </c>
      <c r="C155" s="5">
        <v>11.68</v>
      </c>
      <c r="D155" s="4">
        <v>222</v>
      </c>
      <c r="E155" s="5">
        <v>5.0599999999999996</v>
      </c>
      <c r="F155" s="4">
        <v>925</v>
      </c>
      <c r="G155" s="5">
        <v>17.02</v>
      </c>
      <c r="H155" s="4">
        <v>4</v>
      </c>
    </row>
    <row r="156" spans="1:8" x14ac:dyDescent="0.2">
      <c r="A156" s="2" t="s">
        <v>60</v>
      </c>
      <c r="B156" s="4">
        <v>1240</v>
      </c>
      <c r="C156" s="5">
        <v>12.58</v>
      </c>
      <c r="D156" s="4">
        <v>693</v>
      </c>
      <c r="E156" s="5">
        <v>15.8</v>
      </c>
      <c r="F156" s="4">
        <v>539</v>
      </c>
      <c r="G156" s="5">
        <v>9.92</v>
      </c>
      <c r="H156" s="4">
        <v>8</v>
      </c>
    </row>
    <row r="157" spans="1:8" x14ac:dyDescent="0.2">
      <c r="A157" s="2" t="s">
        <v>61</v>
      </c>
      <c r="B157" s="4">
        <v>2137</v>
      </c>
      <c r="C157" s="5">
        <v>21.68</v>
      </c>
      <c r="D157" s="4">
        <v>1787</v>
      </c>
      <c r="E157" s="5">
        <v>40.729999999999997</v>
      </c>
      <c r="F157" s="4">
        <v>350</v>
      </c>
      <c r="G157" s="5">
        <v>6.44</v>
      </c>
      <c r="H157" s="4">
        <v>0</v>
      </c>
    </row>
    <row r="158" spans="1:8" x14ac:dyDescent="0.2">
      <c r="A158" s="2" t="s">
        <v>62</v>
      </c>
      <c r="B158" s="4">
        <v>741</v>
      </c>
      <c r="C158" s="5">
        <v>7.52</v>
      </c>
      <c r="D158" s="4">
        <v>480</v>
      </c>
      <c r="E158" s="5">
        <v>10.94</v>
      </c>
      <c r="F158" s="4">
        <v>258</v>
      </c>
      <c r="G158" s="5">
        <v>4.75</v>
      </c>
      <c r="H158" s="4">
        <v>1</v>
      </c>
    </row>
    <row r="159" spans="1:8" x14ac:dyDescent="0.2">
      <c r="A159" s="2" t="s">
        <v>63</v>
      </c>
      <c r="B159" s="4">
        <v>245</v>
      </c>
      <c r="C159" s="5">
        <v>2.4900000000000002</v>
      </c>
      <c r="D159" s="4">
        <v>122</v>
      </c>
      <c r="E159" s="5">
        <v>2.78</v>
      </c>
      <c r="F159" s="4">
        <v>118</v>
      </c>
      <c r="G159" s="5">
        <v>2.17</v>
      </c>
      <c r="H159" s="4">
        <v>2</v>
      </c>
    </row>
    <row r="160" spans="1:8" x14ac:dyDescent="0.2">
      <c r="A160" s="2" t="s">
        <v>64</v>
      </c>
      <c r="B160" s="4">
        <v>352</v>
      </c>
      <c r="C160" s="5">
        <v>3.57</v>
      </c>
      <c r="D160" s="4">
        <v>220</v>
      </c>
      <c r="E160" s="5">
        <v>5.01</v>
      </c>
      <c r="F160" s="4">
        <v>125</v>
      </c>
      <c r="G160" s="5">
        <v>2.2999999999999998</v>
      </c>
      <c r="H160" s="4">
        <v>5</v>
      </c>
    </row>
    <row r="161" spans="1:8" x14ac:dyDescent="0.2">
      <c r="A161" s="2" t="s">
        <v>65</v>
      </c>
      <c r="B161" s="4">
        <v>350</v>
      </c>
      <c r="C161" s="5">
        <v>3.55</v>
      </c>
      <c r="D161" s="4">
        <v>46</v>
      </c>
      <c r="E161" s="5">
        <v>1.05</v>
      </c>
      <c r="F161" s="4">
        <v>299</v>
      </c>
      <c r="G161" s="5">
        <v>5.5</v>
      </c>
      <c r="H161" s="4">
        <v>3</v>
      </c>
    </row>
    <row r="162" spans="1:8" x14ac:dyDescent="0.2">
      <c r="A162" s="1" t="s">
        <v>10</v>
      </c>
      <c r="B162" s="4">
        <v>3069</v>
      </c>
      <c r="C162" s="5">
        <v>100</v>
      </c>
      <c r="D162" s="4">
        <v>1044</v>
      </c>
      <c r="E162" s="5">
        <v>99.99</v>
      </c>
      <c r="F162" s="4">
        <v>2014</v>
      </c>
      <c r="G162" s="5">
        <v>100.00999999999999</v>
      </c>
      <c r="H162" s="4">
        <v>2</v>
      </c>
    </row>
    <row r="163" spans="1:8" x14ac:dyDescent="0.2">
      <c r="A163" s="2" t="s">
        <v>51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52</v>
      </c>
      <c r="B164" s="4">
        <v>487</v>
      </c>
      <c r="C164" s="5">
        <v>15.87</v>
      </c>
      <c r="D164" s="4">
        <v>83</v>
      </c>
      <c r="E164" s="5">
        <v>7.95</v>
      </c>
      <c r="F164" s="4">
        <v>404</v>
      </c>
      <c r="G164" s="5">
        <v>20.059999999999999</v>
      </c>
      <c r="H164" s="4">
        <v>0</v>
      </c>
    </row>
    <row r="165" spans="1:8" x14ac:dyDescent="0.2">
      <c r="A165" s="2" t="s">
        <v>53</v>
      </c>
      <c r="B165" s="4">
        <v>397</v>
      </c>
      <c r="C165" s="5">
        <v>12.94</v>
      </c>
      <c r="D165" s="4">
        <v>89</v>
      </c>
      <c r="E165" s="5">
        <v>8.52</v>
      </c>
      <c r="F165" s="4">
        <v>308</v>
      </c>
      <c r="G165" s="5">
        <v>15.29</v>
      </c>
      <c r="H165" s="4">
        <v>0</v>
      </c>
    </row>
    <row r="166" spans="1:8" x14ac:dyDescent="0.2">
      <c r="A166" s="2" t="s">
        <v>54</v>
      </c>
      <c r="B166" s="4">
        <v>13</v>
      </c>
      <c r="C166" s="5">
        <v>0.42</v>
      </c>
      <c r="D166" s="4">
        <v>0</v>
      </c>
      <c r="E166" s="5">
        <v>0</v>
      </c>
      <c r="F166" s="4">
        <v>13</v>
      </c>
      <c r="G166" s="5">
        <v>0.65</v>
      </c>
      <c r="H166" s="4">
        <v>0</v>
      </c>
    </row>
    <row r="167" spans="1:8" x14ac:dyDescent="0.2">
      <c r="A167" s="2" t="s">
        <v>55</v>
      </c>
      <c r="B167" s="4">
        <v>26</v>
      </c>
      <c r="C167" s="5">
        <v>0.85</v>
      </c>
      <c r="D167" s="4">
        <v>2</v>
      </c>
      <c r="E167" s="5">
        <v>0.19</v>
      </c>
      <c r="F167" s="4">
        <v>24</v>
      </c>
      <c r="G167" s="5">
        <v>1.19</v>
      </c>
      <c r="H167" s="4">
        <v>0</v>
      </c>
    </row>
    <row r="168" spans="1:8" x14ac:dyDescent="0.2">
      <c r="A168" s="2" t="s">
        <v>56</v>
      </c>
      <c r="B168" s="4">
        <v>69</v>
      </c>
      <c r="C168" s="5">
        <v>2.25</v>
      </c>
      <c r="D168" s="4">
        <v>14</v>
      </c>
      <c r="E168" s="5">
        <v>1.34</v>
      </c>
      <c r="F168" s="4">
        <v>55</v>
      </c>
      <c r="G168" s="5">
        <v>2.73</v>
      </c>
      <c r="H168" s="4">
        <v>0</v>
      </c>
    </row>
    <row r="169" spans="1:8" x14ac:dyDescent="0.2">
      <c r="A169" s="2" t="s">
        <v>57</v>
      </c>
      <c r="B169" s="4">
        <v>645</v>
      </c>
      <c r="C169" s="5">
        <v>21.02</v>
      </c>
      <c r="D169" s="4">
        <v>215</v>
      </c>
      <c r="E169" s="5">
        <v>20.59</v>
      </c>
      <c r="F169" s="4">
        <v>429</v>
      </c>
      <c r="G169" s="5">
        <v>21.3</v>
      </c>
      <c r="H169" s="4">
        <v>1</v>
      </c>
    </row>
    <row r="170" spans="1:8" x14ac:dyDescent="0.2">
      <c r="A170" s="2" t="s">
        <v>58</v>
      </c>
      <c r="B170" s="4">
        <v>31</v>
      </c>
      <c r="C170" s="5">
        <v>1.01</v>
      </c>
      <c r="D170" s="4">
        <v>2</v>
      </c>
      <c r="E170" s="5">
        <v>0.19</v>
      </c>
      <c r="F170" s="4">
        <v>29</v>
      </c>
      <c r="G170" s="5">
        <v>1.44</v>
      </c>
      <c r="H170" s="4">
        <v>0</v>
      </c>
    </row>
    <row r="171" spans="1:8" x14ac:dyDescent="0.2">
      <c r="A171" s="2" t="s">
        <v>59</v>
      </c>
      <c r="B171" s="4">
        <v>381</v>
      </c>
      <c r="C171" s="5">
        <v>12.41</v>
      </c>
      <c r="D171" s="4">
        <v>84</v>
      </c>
      <c r="E171" s="5">
        <v>8.0500000000000007</v>
      </c>
      <c r="F171" s="4">
        <v>297</v>
      </c>
      <c r="G171" s="5">
        <v>14.75</v>
      </c>
      <c r="H171" s="4">
        <v>0</v>
      </c>
    </row>
    <row r="172" spans="1:8" x14ac:dyDescent="0.2">
      <c r="A172" s="2" t="s">
        <v>60</v>
      </c>
      <c r="B172" s="4">
        <v>151</v>
      </c>
      <c r="C172" s="5">
        <v>4.92</v>
      </c>
      <c r="D172" s="4">
        <v>51</v>
      </c>
      <c r="E172" s="5">
        <v>4.8899999999999997</v>
      </c>
      <c r="F172" s="4">
        <v>99</v>
      </c>
      <c r="G172" s="5">
        <v>4.92</v>
      </c>
      <c r="H172" s="4">
        <v>0</v>
      </c>
    </row>
    <row r="173" spans="1:8" x14ac:dyDescent="0.2">
      <c r="A173" s="2" t="s">
        <v>61</v>
      </c>
      <c r="B173" s="4">
        <v>163</v>
      </c>
      <c r="C173" s="5">
        <v>5.31</v>
      </c>
      <c r="D173" s="4">
        <v>109</v>
      </c>
      <c r="E173" s="5">
        <v>10.44</v>
      </c>
      <c r="F173" s="4">
        <v>54</v>
      </c>
      <c r="G173" s="5">
        <v>2.68</v>
      </c>
      <c r="H173" s="4">
        <v>0</v>
      </c>
    </row>
    <row r="174" spans="1:8" x14ac:dyDescent="0.2">
      <c r="A174" s="2" t="s">
        <v>62</v>
      </c>
      <c r="B174" s="4">
        <v>256</v>
      </c>
      <c r="C174" s="5">
        <v>8.34</v>
      </c>
      <c r="D174" s="4">
        <v>173</v>
      </c>
      <c r="E174" s="5">
        <v>16.57</v>
      </c>
      <c r="F174" s="4">
        <v>82</v>
      </c>
      <c r="G174" s="5">
        <v>4.07</v>
      </c>
      <c r="H174" s="4">
        <v>0</v>
      </c>
    </row>
    <row r="175" spans="1:8" x14ac:dyDescent="0.2">
      <c r="A175" s="2" t="s">
        <v>63</v>
      </c>
      <c r="B175" s="4">
        <v>125</v>
      </c>
      <c r="C175" s="5">
        <v>4.07</v>
      </c>
      <c r="D175" s="4">
        <v>84</v>
      </c>
      <c r="E175" s="5">
        <v>8.0500000000000007</v>
      </c>
      <c r="F175" s="4">
        <v>41</v>
      </c>
      <c r="G175" s="5">
        <v>2.04</v>
      </c>
      <c r="H175" s="4">
        <v>0</v>
      </c>
    </row>
    <row r="176" spans="1:8" x14ac:dyDescent="0.2">
      <c r="A176" s="2" t="s">
        <v>64</v>
      </c>
      <c r="B176" s="4">
        <v>152</v>
      </c>
      <c r="C176" s="5">
        <v>4.95</v>
      </c>
      <c r="D176" s="4">
        <v>70</v>
      </c>
      <c r="E176" s="5">
        <v>6.7</v>
      </c>
      <c r="F176" s="4">
        <v>81</v>
      </c>
      <c r="G176" s="5">
        <v>4.0199999999999996</v>
      </c>
      <c r="H176" s="4">
        <v>0</v>
      </c>
    </row>
    <row r="177" spans="1:8" x14ac:dyDescent="0.2">
      <c r="A177" s="2" t="s">
        <v>65</v>
      </c>
      <c r="B177" s="4">
        <v>173</v>
      </c>
      <c r="C177" s="5">
        <v>5.64</v>
      </c>
      <c r="D177" s="4">
        <v>68</v>
      </c>
      <c r="E177" s="5">
        <v>6.51</v>
      </c>
      <c r="F177" s="4">
        <v>98</v>
      </c>
      <c r="G177" s="5">
        <v>4.87</v>
      </c>
      <c r="H177" s="4">
        <v>1</v>
      </c>
    </row>
    <row r="178" spans="1:8" x14ac:dyDescent="0.2">
      <c r="A178" s="1" t="s">
        <v>11</v>
      </c>
      <c r="B178" s="4">
        <v>12571</v>
      </c>
      <c r="C178" s="5">
        <v>99.999999999999986</v>
      </c>
      <c r="D178" s="4">
        <v>6630</v>
      </c>
      <c r="E178" s="5">
        <v>100.01</v>
      </c>
      <c r="F178" s="4">
        <v>5816</v>
      </c>
      <c r="G178" s="5">
        <v>99.98</v>
      </c>
      <c r="H178" s="4">
        <v>19</v>
      </c>
    </row>
    <row r="179" spans="1:8" x14ac:dyDescent="0.2">
      <c r="A179" s="2" t="s">
        <v>51</v>
      </c>
      <c r="B179" s="4">
        <v>2</v>
      </c>
      <c r="C179" s="5">
        <v>0.02</v>
      </c>
      <c r="D179" s="4">
        <v>0</v>
      </c>
      <c r="E179" s="5">
        <v>0</v>
      </c>
      <c r="F179" s="4">
        <v>2</v>
      </c>
      <c r="G179" s="5">
        <v>0.03</v>
      </c>
      <c r="H179" s="4">
        <v>0</v>
      </c>
    </row>
    <row r="180" spans="1:8" x14ac:dyDescent="0.2">
      <c r="A180" s="2" t="s">
        <v>52</v>
      </c>
      <c r="B180" s="4">
        <v>1659</v>
      </c>
      <c r="C180" s="5">
        <v>13.2</v>
      </c>
      <c r="D180" s="4">
        <v>430</v>
      </c>
      <c r="E180" s="5">
        <v>6.49</v>
      </c>
      <c r="F180" s="4">
        <v>1229</v>
      </c>
      <c r="G180" s="5">
        <v>21.13</v>
      </c>
      <c r="H180" s="4">
        <v>0</v>
      </c>
    </row>
    <row r="181" spans="1:8" x14ac:dyDescent="0.2">
      <c r="A181" s="2" t="s">
        <v>53</v>
      </c>
      <c r="B181" s="4">
        <v>1097</v>
      </c>
      <c r="C181" s="5">
        <v>8.73</v>
      </c>
      <c r="D181" s="4">
        <v>462</v>
      </c>
      <c r="E181" s="5">
        <v>6.97</v>
      </c>
      <c r="F181" s="4">
        <v>634</v>
      </c>
      <c r="G181" s="5">
        <v>10.9</v>
      </c>
      <c r="H181" s="4">
        <v>1</v>
      </c>
    </row>
    <row r="182" spans="1:8" x14ac:dyDescent="0.2">
      <c r="A182" s="2" t="s">
        <v>54</v>
      </c>
      <c r="B182" s="4">
        <v>12</v>
      </c>
      <c r="C182" s="5">
        <v>0.1</v>
      </c>
      <c r="D182" s="4">
        <v>1</v>
      </c>
      <c r="E182" s="5">
        <v>0.02</v>
      </c>
      <c r="F182" s="4">
        <v>10</v>
      </c>
      <c r="G182" s="5">
        <v>0.17</v>
      </c>
      <c r="H182" s="4">
        <v>0</v>
      </c>
    </row>
    <row r="183" spans="1:8" x14ac:dyDescent="0.2">
      <c r="A183" s="2" t="s">
        <v>55</v>
      </c>
      <c r="B183" s="4">
        <v>82</v>
      </c>
      <c r="C183" s="5">
        <v>0.65</v>
      </c>
      <c r="D183" s="4">
        <v>5</v>
      </c>
      <c r="E183" s="5">
        <v>0.08</v>
      </c>
      <c r="F183" s="4">
        <v>77</v>
      </c>
      <c r="G183" s="5">
        <v>1.32</v>
      </c>
      <c r="H183" s="4">
        <v>0</v>
      </c>
    </row>
    <row r="184" spans="1:8" x14ac:dyDescent="0.2">
      <c r="A184" s="2" t="s">
        <v>56</v>
      </c>
      <c r="B184" s="4">
        <v>125</v>
      </c>
      <c r="C184" s="5">
        <v>0.99</v>
      </c>
      <c r="D184" s="4">
        <v>22</v>
      </c>
      <c r="E184" s="5">
        <v>0.33</v>
      </c>
      <c r="F184" s="4">
        <v>102</v>
      </c>
      <c r="G184" s="5">
        <v>1.75</v>
      </c>
      <c r="H184" s="4">
        <v>1</v>
      </c>
    </row>
    <row r="185" spans="1:8" x14ac:dyDescent="0.2">
      <c r="A185" s="2" t="s">
        <v>57</v>
      </c>
      <c r="B185" s="4">
        <v>2922</v>
      </c>
      <c r="C185" s="5">
        <v>23.24</v>
      </c>
      <c r="D185" s="4">
        <v>1452</v>
      </c>
      <c r="E185" s="5">
        <v>21.9</v>
      </c>
      <c r="F185" s="4">
        <v>1468</v>
      </c>
      <c r="G185" s="5">
        <v>25.24</v>
      </c>
      <c r="H185" s="4">
        <v>2</v>
      </c>
    </row>
    <row r="186" spans="1:8" x14ac:dyDescent="0.2">
      <c r="A186" s="2" t="s">
        <v>58</v>
      </c>
      <c r="B186" s="4">
        <v>123</v>
      </c>
      <c r="C186" s="5">
        <v>0.98</v>
      </c>
      <c r="D186" s="4">
        <v>27</v>
      </c>
      <c r="E186" s="5">
        <v>0.41</v>
      </c>
      <c r="F186" s="4">
        <v>95</v>
      </c>
      <c r="G186" s="5">
        <v>1.63</v>
      </c>
      <c r="H186" s="4">
        <v>0</v>
      </c>
    </row>
    <row r="187" spans="1:8" x14ac:dyDescent="0.2">
      <c r="A187" s="2" t="s">
        <v>59</v>
      </c>
      <c r="B187" s="4">
        <v>1120</v>
      </c>
      <c r="C187" s="5">
        <v>8.91</v>
      </c>
      <c r="D187" s="4">
        <v>340</v>
      </c>
      <c r="E187" s="5">
        <v>5.13</v>
      </c>
      <c r="F187" s="4">
        <v>776</v>
      </c>
      <c r="G187" s="5">
        <v>13.34</v>
      </c>
      <c r="H187" s="4">
        <v>4</v>
      </c>
    </row>
    <row r="188" spans="1:8" x14ac:dyDescent="0.2">
      <c r="A188" s="2" t="s">
        <v>60</v>
      </c>
      <c r="B188" s="4">
        <v>715</v>
      </c>
      <c r="C188" s="5">
        <v>5.69</v>
      </c>
      <c r="D188" s="4">
        <v>389</v>
      </c>
      <c r="E188" s="5">
        <v>5.87</v>
      </c>
      <c r="F188" s="4">
        <v>325</v>
      </c>
      <c r="G188" s="5">
        <v>5.59</v>
      </c>
      <c r="H188" s="4">
        <v>0</v>
      </c>
    </row>
    <row r="189" spans="1:8" x14ac:dyDescent="0.2">
      <c r="A189" s="2" t="s">
        <v>61</v>
      </c>
      <c r="B189" s="4">
        <v>1582</v>
      </c>
      <c r="C189" s="5">
        <v>12.58</v>
      </c>
      <c r="D189" s="4">
        <v>1384</v>
      </c>
      <c r="E189" s="5">
        <v>20.87</v>
      </c>
      <c r="F189" s="4">
        <v>194</v>
      </c>
      <c r="G189" s="5">
        <v>3.34</v>
      </c>
      <c r="H189" s="4">
        <v>3</v>
      </c>
    </row>
    <row r="190" spans="1:8" x14ac:dyDescent="0.2">
      <c r="A190" s="2" t="s">
        <v>62</v>
      </c>
      <c r="B190" s="4">
        <v>1487</v>
      </c>
      <c r="C190" s="5">
        <v>11.83</v>
      </c>
      <c r="D190" s="4">
        <v>1159</v>
      </c>
      <c r="E190" s="5">
        <v>17.48</v>
      </c>
      <c r="F190" s="4">
        <v>326</v>
      </c>
      <c r="G190" s="5">
        <v>5.61</v>
      </c>
      <c r="H190" s="4">
        <v>1</v>
      </c>
    </row>
    <row r="191" spans="1:8" x14ac:dyDescent="0.2">
      <c r="A191" s="2" t="s">
        <v>63</v>
      </c>
      <c r="B191" s="4">
        <v>639</v>
      </c>
      <c r="C191" s="5">
        <v>5.08</v>
      </c>
      <c r="D191" s="4">
        <v>415</v>
      </c>
      <c r="E191" s="5">
        <v>6.26</v>
      </c>
      <c r="F191" s="4">
        <v>143</v>
      </c>
      <c r="G191" s="5">
        <v>2.46</v>
      </c>
      <c r="H191" s="4">
        <v>1</v>
      </c>
    </row>
    <row r="192" spans="1:8" x14ac:dyDescent="0.2">
      <c r="A192" s="2" t="s">
        <v>64</v>
      </c>
      <c r="B192" s="4">
        <v>553</v>
      </c>
      <c r="C192" s="5">
        <v>4.4000000000000004</v>
      </c>
      <c r="D192" s="4">
        <v>361</v>
      </c>
      <c r="E192" s="5">
        <v>5.44</v>
      </c>
      <c r="F192" s="4">
        <v>173</v>
      </c>
      <c r="G192" s="5">
        <v>2.97</v>
      </c>
      <c r="H192" s="4">
        <v>0</v>
      </c>
    </row>
    <row r="193" spans="1:8" x14ac:dyDescent="0.2">
      <c r="A193" s="2" t="s">
        <v>65</v>
      </c>
      <c r="B193" s="4">
        <v>453</v>
      </c>
      <c r="C193" s="5">
        <v>3.6</v>
      </c>
      <c r="D193" s="4">
        <v>183</v>
      </c>
      <c r="E193" s="5">
        <v>2.76</v>
      </c>
      <c r="F193" s="4">
        <v>262</v>
      </c>
      <c r="G193" s="5">
        <v>4.5</v>
      </c>
      <c r="H193" s="4">
        <v>6</v>
      </c>
    </row>
    <row r="194" spans="1:8" x14ac:dyDescent="0.2">
      <c r="A194" s="1" t="s">
        <v>12</v>
      </c>
      <c r="B194" s="4">
        <v>9611</v>
      </c>
      <c r="C194" s="5">
        <v>100.02000000000001</v>
      </c>
      <c r="D194" s="4">
        <v>4845</v>
      </c>
      <c r="E194" s="5">
        <v>99.99</v>
      </c>
      <c r="F194" s="4">
        <v>4657</v>
      </c>
      <c r="G194" s="5">
        <v>100.01000000000002</v>
      </c>
      <c r="H194" s="4">
        <v>9</v>
      </c>
    </row>
    <row r="195" spans="1:8" x14ac:dyDescent="0.2">
      <c r="A195" s="2" t="s">
        <v>51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52</v>
      </c>
      <c r="B196" s="4">
        <v>1211</v>
      </c>
      <c r="C196" s="5">
        <v>12.6</v>
      </c>
      <c r="D196" s="4">
        <v>209</v>
      </c>
      <c r="E196" s="5">
        <v>4.3099999999999996</v>
      </c>
      <c r="F196" s="4">
        <v>1002</v>
      </c>
      <c r="G196" s="5">
        <v>21.52</v>
      </c>
      <c r="H196" s="4">
        <v>0</v>
      </c>
    </row>
    <row r="197" spans="1:8" x14ac:dyDescent="0.2">
      <c r="A197" s="2" t="s">
        <v>53</v>
      </c>
      <c r="B197" s="4">
        <v>978</v>
      </c>
      <c r="C197" s="5">
        <v>10.18</v>
      </c>
      <c r="D197" s="4">
        <v>312</v>
      </c>
      <c r="E197" s="5">
        <v>6.44</v>
      </c>
      <c r="F197" s="4">
        <v>666</v>
      </c>
      <c r="G197" s="5">
        <v>14.3</v>
      </c>
      <c r="H197" s="4">
        <v>0</v>
      </c>
    </row>
    <row r="198" spans="1:8" x14ac:dyDescent="0.2">
      <c r="A198" s="2" t="s">
        <v>54</v>
      </c>
      <c r="B198" s="4">
        <v>7</v>
      </c>
      <c r="C198" s="5">
        <v>7.0000000000000007E-2</v>
      </c>
      <c r="D198" s="4">
        <v>0</v>
      </c>
      <c r="E198" s="5">
        <v>0</v>
      </c>
      <c r="F198" s="4">
        <v>6</v>
      </c>
      <c r="G198" s="5">
        <v>0.13</v>
      </c>
      <c r="H198" s="4">
        <v>0</v>
      </c>
    </row>
    <row r="199" spans="1:8" x14ac:dyDescent="0.2">
      <c r="A199" s="2" t="s">
        <v>55</v>
      </c>
      <c r="B199" s="4">
        <v>63</v>
      </c>
      <c r="C199" s="5">
        <v>0.66</v>
      </c>
      <c r="D199" s="4">
        <v>7</v>
      </c>
      <c r="E199" s="5">
        <v>0.14000000000000001</v>
      </c>
      <c r="F199" s="4">
        <v>56</v>
      </c>
      <c r="G199" s="5">
        <v>1.2</v>
      </c>
      <c r="H199" s="4">
        <v>0</v>
      </c>
    </row>
    <row r="200" spans="1:8" x14ac:dyDescent="0.2">
      <c r="A200" s="2" t="s">
        <v>56</v>
      </c>
      <c r="B200" s="4">
        <v>92</v>
      </c>
      <c r="C200" s="5">
        <v>0.96</v>
      </c>
      <c r="D200" s="4">
        <v>16</v>
      </c>
      <c r="E200" s="5">
        <v>0.33</v>
      </c>
      <c r="F200" s="4">
        <v>76</v>
      </c>
      <c r="G200" s="5">
        <v>1.63</v>
      </c>
      <c r="H200" s="4">
        <v>0</v>
      </c>
    </row>
    <row r="201" spans="1:8" x14ac:dyDescent="0.2">
      <c r="A201" s="2" t="s">
        <v>57</v>
      </c>
      <c r="B201" s="4">
        <v>1932</v>
      </c>
      <c r="C201" s="5">
        <v>20.100000000000001</v>
      </c>
      <c r="D201" s="4">
        <v>964</v>
      </c>
      <c r="E201" s="5">
        <v>19.899999999999999</v>
      </c>
      <c r="F201" s="4">
        <v>968</v>
      </c>
      <c r="G201" s="5">
        <v>20.79</v>
      </c>
      <c r="H201" s="4">
        <v>0</v>
      </c>
    </row>
    <row r="202" spans="1:8" x14ac:dyDescent="0.2">
      <c r="A202" s="2" t="s">
        <v>58</v>
      </c>
      <c r="B202" s="4">
        <v>40</v>
      </c>
      <c r="C202" s="5">
        <v>0.42</v>
      </c>
      <c r="D202" s="4">
        <v>4</v>
      </c>
      <c r="E202" s="5">
        <v>0.08</v>
      </c>
      <c r="F202" s="4">
        <v>36</v>
      </c>
      <c r="G202" s="5">
        <v>0.77</v>
      </c>
      <c r="H202" s="4">
        <v>0</v>
      </c>
    </row>
    <row r="203" spans="1:8" x14ac:dyDescent="0.2">
      <c r="A203" s="2" t="s">
        <v>59</v>
      </c>
      <c r="B203" s="4">
        <v>1095</v>
      </c>
      <c r="C203" s="5">
        <v>11.39</v>
      </c>
      <c r="D203" s="4">
        <v>265</v>
      </c>
      <c r="E203" s="5">
        <v>5.47</v>
      </c>
      <c r="F203" s="4">
        <v>829</v>
      </c>
      <c r="G203" s="5">
        <v>17.8</v>
      </c>
      <c r="H203" s="4">
        <v>1</v>
      </c>
    </row>
    <row r="204" spans="1:8" x14ac:dyDescent="0.2">
      <c r="A204" s="2" t="s">
        <v>60</v>
      </c>
      <c r="B204" s="4">
        <v>424</v>
      </c>
      <c r="C204" s="5">
        <v>4.41</v>
      </c>
      <c r="D204" s="4">
        <v>237</v>
      </c>
      <c r="E204" s="5">
        <v>4.8899999999999997</v>
      </c>
      <c r="F204" s="4">
        <v>183</v>
      </c>
      <c r="G204" s="5">
        <v>3.93</v>
      </c>
      <c r="H204" s="4">
        <v>2</v>
      </c>
    </row>
    <row r="205" spans="1:8" x14ac:dyDescent="0.2">
      <c r="A205" s="2" t="s">
        <v>61</v>
      </c>
      <c r="B205" s="4">
        <v>1484</v>
      </c>
      <c r="C205" s="5">
        <v>15.44</v>
      </c>
      <c r="D205" s="4">
        <v>1323</v>
      </c>
      <c r="E205" s="5">
        <v>27.31</v>
      </c>
      <c r="F205" s="4">
        <v>160</v>
      </c>
      <c r="G205" s="5">
        <v>3.44</v>
      </c>
      <c r="H205" s="4">
        <v>1</v>
      </c>
    </row>
    <row r="206" spans="1:8" x14ac:dyDescent="0.2">
      <c r="A206" s="2" t="s">
        <v>62</v>
      </c>
      <c r="B206" s="4">
        <v>1076</v>
      </c>
      <c r="C206" s="5">
        <v>11.2</v>
      </c>
      <c r="D206" s="4">
        <v>843</v>
      </c>
      <c r="E206" s="5">
        <v>17.399999999999999</v>
      </c>
      <c r="F206" s="4">
        <v>232</v>
      </c>
      <c r="G206" s="5">
        <v>4.9800000000000004</v>
      </c>
      <c r="H206" s="4">
        <v>1</v>
      </c>
    </row>
    <row r="207" spans="1:8" x14ac:dyDescent="0.2">
      <c r="A207" s="2" t="s">
        <v>63</v>
      </c>
      <c r="B207" s="4">
        <v>314</v>
      </c>
      <c r="C207" s="5">
        <v>3.27</v>
      </c>
      <c r="D207" s="4">
        <v>240</v>
      </c>
      <c r="E207" s="5">
        <v>4.95</v>
      </c>
      <c r="F207" s="4">
        <v>72</v>
      </c>
      <c r="G207" s="5">
        <v>1.55</v>
      </c>
      <c r="H207" s="4">
        <v>1</v>
      </c>
    </row>
    <row r="208" spans="1:8" x14ac:dyDescent="0.2">
      <c r="A208" s="2" t="s">
        <v>64</v>
      </c>
      <c r="B208" s="4">
        <v>607</v>
      </c>
      <c r="C208" s="5">
        <v>6.32</v>
      </c>
      <c r="D208" s="4">
        <v>326</v>
      </c>
      <c r="E208" s="5">
        <v>6.73</v>
      </c>
      <c r="F208" s="4">
        <v>184</v>
      </c>
      <c r="G208" s="5">
        <v>3.95</v>
      </c>
      <c r="H208" s="4">
        <v>2</v>
      </c>
    </row>
    <row r="209" spans="1:8" x14ac:dyDescent="0.2">
      <c r="A209" s="2" t="s">
        <v>65</v>
      </c>
      <c r="B209" s="4">
        <v>288</v>
      </c>
      <c r="C209" s="5">
        <v>3</v>
      </c>
      <c r="D209" s="4">
        <v>99</v>
      </c>
      <c r="E209" s="5">
        <v>2.04</v>
      </c>
      <c r="F209" s="4">
        <v>187</v>
      </c>
      <c r="G209" s="5">
        <v>4.0199999999999996</v>
      </c>
      <c r="H209" s="4">
        <v>1</v>
      </c>
    </row>
    <row r="210" spans="1:8" x14ac:dyDescent="0.2">
      <c r="A210" s="1" t="s">
        <v>13</v>
      </c>
      <c r="B210" s="4">
        <v>4562</v>
      </c>
      <c r="C210" s="5">
        <v>99.99</v>
      </c>
      <c r="D210" s="4">
        <v>2489</v>
      </c>
      <c r="E210" s="5">
        <v>99.99</v>
      </c>
      <c r="F210" s="4">
        <v>2044</v>
      </c>
      <c r="G210" s="5">
        <v>100.00000000000003</v>
      </c>
      <c r="H210" s="4">
        <v>5</v>
      </c>
    </row>
    <row r="211" spans="1:8" x14ac:dyDescent="0.2">
      <c r="A211" s="2" t="s">
        <v>51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52</v>
      </c>
      <c r="B212" s="4">
        <v>393</v>
      </c>
      <c r="C212" s="5">
        <v>8.61</v>
      </c>
      <c r="D212" s="4">
        <v>98</v>
      </c>
      <c r="E212" s="5">
        <v>3.94</v>
      </c>
      <c r="F212" s="4">
        <v>295</v>
      </c>
      <c r="G212" s="5">
        <v>14.43</v>
      </c>
      <c r="H212" s="4">
        <v>0</v>
      </c>
    </row>
    <row r="213" spans="1:8" x14ac:dyDescent="0.2">
      <c r="A213" s="2" t="s">
        <v>53</v>
      </c>
      <c r="B213" s="4">
        <v>270</v>
      </c>
      <c r="C213" s="5">
        <v>5.92</v>
      </c>
      <c r="D213" s="4">
        <v>89</v>
      </c>
      <c r="E213" s="5">
        <v>3.58</v>
      </c>
      <c r="F213" s="4">
        <v>181</v>
      </c>
      <c r="G213" s="5">
        <v>8.86</v>
      </c>
      <c r="H213" s="4">
        <v>0</v>
      </c>
    </row>
    <row r="214" spans="1:8" x14ac:dyDescent="0.2">
      <c r="A214" s="2" t="s">
        <v>54</v>
      </c>
      <c r="B214" s="4">
        <v>4</v>
      </c>
      <c r="C214" s="5">
        <v>0.09</v>
      </c>
      <c r="D214" s="4">
        <v>0</v>
      </c>
      <c r="E214" s="5">
        <v>0</v>
      </c>
      <c r="F214" s="4">
        <v>4</v>
      </c>
      <c r="G214" s="5">
        <v>0.2</v>
      </c>
      <c r="H214" s="4">
        <v>0</v>
      </c>
    </row>
    <row r="215" spans="1:8" x14ac:dyDescent="0.2">
      <c r="A215" s="2" t="s">
        <v>55</v>
      </c>
      <c r="B215" s="4">
        <v>37</v>
      </c>
      <c r="C215" s="5">
        <v>0.81</v>
      </c>
      <c r="D215" s="4">
        <v>2</v>
      </c>
      <c r="E215" s="5">
        <v>0.08</v>
      </c>
      <c r="F215" s="4">
        <v>35</v>
      </c>
      <c r="G215" s="5">
        <v>1.71</v>
      </c>
      <c r="H215" s="4">
        <v>0</v>
      </c>
    </row>
    <row r="216" spans="1:8" x14ac:dyDescent="0.2">
      <c r="A216" s="2" t="s">
        <v>56</v>
      </c>
      <c r="B216" s="4">
        <v>42</v>
      </c>
      <c r="C216" s="5">
        <v>0.92</v>
      </c>
      <c r="D216" s="4">
        <v>4</v>
      </c>
      <c r="E216" s="5">
        <v>0.16</v>
      </c>
      <c r="F216" s="4">
        <v>38</v>
      </c>
      <c r="G216" s="5">
        <v>1.86</v>
      </c>
      <c r="H216" s="4">
        <v>0</v>
      </c>
    </row>
    <row r="217" spans="1:8" x14ac:dyDescent="0.2">
      <c r="A217" s="2" t="s">
        <v>57</v>
      </c>
      <c r="B217" s="4">
        <v>1038</v>
      </c>
      <c r="C217" s="5">
        <v>22.75</v>
      </c>
      <c r="D217" s="4">
        <v>535</v>
      </c>
      <c r="E217" s="5">
        <v>21.49</v>
      </c>
      <c r="F217" s="4">
        <v>502</v>
      </c>
      <c r="G217" s="5">
        <v>24.56</v>
      </c>
      <c r="H217" s="4">
        <v>1</v>
      </c>
    </row>
    <row r="218" spans="1:8" x14ac:dyDescent="0.2">
      <c r="A218" s="2" t="s">
        <v>58</v>
      </c>
      <c r="B218" s="4">
        <v>30</v>
      </c>
      <c r="C218" s="5">
        <v>0.66</v>
      </c>
      <c r="D218" s="4">
        <v>6</v>
      </c>
      <c r="E218" s="5">
        <v>0.24</v>
      </c>
      <c r="F218" s="4">
        <v>24</v>
      </c>
      <c r="G218" s="5">
        <v>1.17</v>
      </c>
      <c r="H218" s="4">
        <v>0</v>
      </c>
    </row>
    <row r="219" spans="1:8" x14ac:dyDescent="0.2">
      <c r="A219" s="2" t="s">
        <v>59</v>
      </c>
      <c r="B219" s="4">
        <v>474</v>
      </c>
      <c r="C219" s="5">
        <v>10.39</v>
      </c>
      <c r="D219" s="4">
        <v>83</v>
      </c>
      <c r="E219" s="5">
        <v>3.33</v>
      </c>
      <c r="F219" s="4">
        <v>390</v>
      </c>
      <c r="G219" s="5">
        <v>19.079999999999998</v>
      </c>
      <c r="H219" s="4">
        <v>0</v>
      </c>
    </row>
    <row r="220" spans="1:8" x14ac:dyDescent="0.2">
      <c r="A220" s="2" t="s">
        <v>60</v>
      </c>
      <c r="B220" s="4">
        <v>265</v>
      </c>
      <c r="C220" s="5">
        <v>5.81</v>
      </c>
      <c r="D220" s="4">
        <v>152</v>
      </c>
      <c r="E220" s="5">
        <v>6.11</v>
      </c>
      <c r="F220" s="4">
        <v>112</v>
      </c>
      <c r="G220" s="5">
        <v>5.48</v>
      </c>
      <c r="H220" s="4">
        <v>0</v>
      </c>
    </row>
    <row r="221" spans="1:8" x14ac:dyDescent="0.2">
      <c r="A221" s="2" t="s">
        <v>61</v>
      </c>
      <c r="B221" s="4">
        <v>661</v>
      </c>
      <c r="C221" s="5">
        <v>14.49</v>
      </c>
      <c r="D221" s="4">
        <v>588</v>
      </c>
      <c r="E221" s="5">
        <v>23.62</v>
      </c>
      <c r="F221" s="4">
        <v>71</v>
      </c>
      <c r="G221" s="5">
        <v>3.47</v>
      </c>
      <c r="H221" s="4">
        <v>0</v>
      </c>
    </row>
    <row r="222" spans="1:8" x14ac:dyDescent="0.2">
      <c r="A222" s="2" t="s">
        <v>62</v>
      </c>
      <c r="B222" s="4">
        <v>684</v>
      </c>
      <c r="C222" s="5">
        <v>14.99</v>
      </c>
      <c r="D222" s="4">
        <v>530</v>
      </c>
      <c r="E222" s="5">
        <v>21.29</v>
      </c>
      <c r="F222" s="4">
        <v>150</v>
      </c>
      <c r="G222" s="5">
        <v>7.34</v>
      </c>
      <c r="H222" s="4">
        <v>0</v>
      </c>
    </row>
    <row r="223" spans="1:8" x14ac:dyDescent="0.2">
      <c r="A223" s="2" t="s">
        <v>63</v>
      </c>
      <c r="B223" s="4">
        <v>238</v>
      </c>
      <c r="C223" s="5">
        <v>5.22</v>
      </c>
      <c r="D223" s="4">
        <v>188</v>
      </c>
      <c r="E223" s="5">
        <v>7.55</v>
      </c>
      <c r="F223" s="4">
        <v>49</v>
      </c>
      <c r="G223" s="5">
        <v>2.4</v>
      </c>
      <c r="H223" s="4">
        <v>1</v>
      </c>
    </row>
    <row r="224" spans="1:8" x14ac:dyDescent="0.2">
      <c r="A224" s="2" t="s">
        <v>64</v>
      </c>
      <c r="B224" s="4">
        <v>273</v>
      </c>
      <c r="C224" s="5">
        <v>5.98</v>
      </c>
      <c r="D224" s="4">
        <v>165</v>
      </c>
      <c r="E224" s="5">
        <v>6.63</v>
      </c>
      <c r="F224" s="4">
        <v>103</v>
      </c>
      <c r="G224" s="5">
        <v>5.04</v>
      </c>
      <c r="H224" s="4">
        <v>0</v>
      </c>
    </row>
    <row r="225" spans="1:8" x14ac:dyDescent="0.2">
      <c r="A225" s="2" t="s">
        <v>65</v>
      </c>
      <c r="B225" s="4">
        <v>153</v>
      </c>
      <c r="C225" s="5">
        <v>3.35</v>
      </c>
      <c r="D225" s="4">
        <v>49</v>
      </c>
      <c r="E225" s="5">
        <v>1.97</v>
      </c>
      <c r="F225" s="4">
        <v>90</v>
      </c>
      <c r="G225" s="5">
        <v>4.4000000000000004</v>
      </c>
      <c r="H225" s="4">
        <v>3</v>
      </c>
    </row>
    <row r="226" spans="1:8" x14ac:dyDescent="0.2">
      <c r="A226" s="1" t="s">
        <v>14</v>
      </c>
      <c r="B226" s="4">
        <v>7706</v>
      </c>
      <c r="C226" s="5">
        <v>99.98</v>
      </c>
      <c r="D226" s="4">
        <v>3522</v>
      </c>
      <c r="E226" s="5">
        <v>100.00000000000001</v>
      </c>
      <c r="F226" s="4">
        <v>4138</v>
      </c>
      <c r="G226" s="5">
        <v>100.01999999999998</v>
      </c>
      <c r="H226" s="4">
        <v>11</v>
      </c>
    </row>
    <row r="227" spans="1:8" x14ac:dyDescent="0.2">
      <c r="A227" s="2" t="s">
        <v>51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52</v>
      </c>
      <c r="B228" s="4">
        <v>713</v>
      </c>
      <c r="C228" s="5">
        <v>9.25</v>
      </c>
      <c r="D228" s="4">
        <v>97</v>
      </c>
      <c r="E228" s="5">
        <v>2.75</v>
      </c>
      <c r="F228" s="4">
        <v>616</v>
      </c>
      <c r="G228" s="5">
        <v>14.89</v>
      </c>
      <c r="H228" s="4">
        <v>0</v>
      </c>
    </row>
    <row r="229" spans="1:8" x14ac:dyDescent="0.2">
      <c r="A229" s="2" t="s">
        <v>53</v>
      </c>
      <c r="B229" s="4">
        <v>223</v>
      </c>
      <c r="C229" s="5">
        <v>2.89</v>
      </c>
      <c r="D229" s="4">
        <v>50</v>
      </c>
      <c r="E229" s="5">
        <v>1.42</v>
      </c>
      <c r="F229" s="4">
        <v>172</v>
      </c>
      <c r="G229" s="5">
        <v>4.16</v>
      </c>
      <c r="H229" s="4">
        <v>1</v>
      </c>
    </row>
    <row r="230" spans="1:8" x14ac:dyDescent="0.2">
      <c r="A230" s="2" t="s">
        <v>54</v>
      </c>
      <c r="B230" s="4">
        <v>10</v>
      </c>
      <c r="C230" s="5">
        <v>0.13</v>
      </c>
      <c r="D230" s="4">
        <v>0</v>
      </c>
      <c r="E230" s="5">
        <v>0</v>
      </c>
      <c r="F230" s="4">
        <v>9</v>
      </c>
      <c r="G230" s="5">
        <v>0.22</v>
      </c>
      <c r="H230" s="4">
        <v>0</v>
      </c>
    </row>
    <row r="231" spans="1:8" x14ac:dyDescent="0.2">
      <c r="A231" s="2" t="s">
        <v>55</v>
      </c>
      <c r="B231" s="4">
        <v>88</v>
      </c>
      <c r="C231" s="5">
        <v>1.1399999999999999</v>
      </c>
      <c r="D231" s="4">
        <v>4</v>
      </c>
      <c r="E231" s="5">
        <v>0.11</v>
      </c>
      <c r="F231" s="4">
        <v>84</v>
      </c>
      <c r="G231" s="5">
        <v>2.0299999999999998</v>
      </c>
      <c r="H231" s="4">
        <v>0</v>
      </c>
    </row>
    <row r="232" spans="1:8" x14ac:dyDescent="0.2">
      <c r="A232" s="2" t="s">
        <v>56</v>
      </c>
      <c r="B232" s="4">
        <v>66</v>
      </c>
      <c r="C232" s="5">
        <v>0.86</v>
      </c>
      <c r="D232" s="4">
        <v>6</v>
      </c>
      <c r="E232" s="5">
        <v>0.17</v>
      </c>
      <c r="F232" s="4">
        <v>60</v>
      </c>
      <c r="G232" s="5">
        <v>1.45</v>
      </c>
      <c r="H232" s="4">
        <v>0</v>
      </c>
    </row>
    <row r="233" spans="1:8" x14ac:dyDescent="0.2">
      <c r="A233" s="2" t="s">
        <v>57</v>
      </c>
      <c r="B233" s="4">
        <v>1664</v>
      </c>
      <c r="C233" s="5">
        <v>21.59</v>
      </c>
      <c r="D233" s="4">
        <v>704</v>
      </c>
      <c r="E233" s="5">
        <v>19.989999999999998</v>
      </c>
      <c r="F233" s="4">
        <v>957</v>
      </c>
      <c r="G233" s="5">
        <v>23.13</v>
      </c>
      <c r="H233" s="4">
        <v>3</v>
      </c>
    </row>
    <row r="234" spans="1:8" x14ac:dyDescent="0.2">
      <c r="A234" s="2" t="s">
        <v>58</v>
      </c>
      <c r="B234" s="4">
        <v>42</v>
      </c>
      <c r="C234" s="5">
        <v>0.55000000000000004</v>
      </c>
      <c r="D234" s="4">
        <v>3</v>
      </c>
      <c r="E234" s="5">
        <v>0.09</v>
      </c>
      <c r="F234" s="4">
        <v>39</v>
      </c>
      <c r="G234" s="5">
        <v>0.94</v>
      </c>
      <c r="H234" s="4">
        <v>0</v>
      </c>
    </row>
    <row r="235" spans="1:8" x14ac:dyDescent="0.2">
      <c r="A235" s="2" t="s">
        <v>59</v>
      </c>
      <c r="B235" s="4">
        <v>1237</v>
      </c>
      <c r="C235" s="5">
        <v>16.05</v>
      </c>
      <c r="D235" s="4">
        <v>277</v>
      </c>
      <c r="E235" s="5">
        <v>7.86</v>
      </c>
      <c r="F235" s="4">
        <v>955</v>
      </c>
      <c r="G235" s="5">
        <v>23.08</v>
      </c>
      <c r="H235" s="4">
        <v>5</v>
      </c>
    </row>
    <row r="236" spans="1:8" x14ac:dyDescent="0.2">
      <c r="A236" s="2" t="s">
        <v>60</v>
      </c>
      <c r="B236" s="4">
        <v>495</v>
      </c>
      <c r="C236" s="5">
        <v>6.42</v>
      </c>
      <c r="D236" s="4">
        <v>202</v>
      </c>
      <c r="E236" s="5">
        <v>5.74</v>
      </c>
      <c r="F236" s="4">
        <v>293</v>
      </c>
      <c r="G236" s="5">
        <v>7.08</v>
      </c>
      <c r="H236" s="4">
        <v>0</v>
      </c>
    </row>
    <row r="237" spans="1:8" x14ac:dyDescent="0.2">
      <c r="A237" s="2" t="s">
        <v>61</v>
      </c>
      <c r="B237" s="4">
        <v>1052</v>
      </c>
      <c r="C237" s="5">
        <v>13.65</v>
      </c>
      <c r="D237" s="4">
        <v>856</v>
      </c>
      <c r="E237" s="5">
        <v>24.3</v>
      </c>
      <c r="F237" s="4">
        <v>196</v>
      </c>
      <c r="G237" s="5">
        <v>4.74</v>
      </c>
      <c r="H237" s="4">
        <v>0</v>
      </c>
    </row>
    <row r="238" spans="1:8" x14ac:dyDescent="0.2">
      <c r="A238" s="2" t="s">
        <v>62</v>
      </c>
      <c r="B238" s="4">
        <v>995</v>
      </c>
      <c r="C238" s="5">
        <v>12.91</v>
      </c>
      <c r="D238" s="4">
        <v>690</v>
      </c>
      <c r="E238" s="5">
        <v>19.59</v>
      </c>
      <c r="F238" s="4">
        <v>301</v>
      </c>
      <c r="G238" s="5">
        <v>7.27</v>
      </c>
      <c r="H238" s="4">
        <v>0</v>
      </c>
    </row>
    <row r="239" spans="1:8" x14ac:dyDescent="0.2">
      <c r="A239" s="2" t="s">
        <v>63</v>
      </c>
      <c r="B239" s="4">
        <v>401</v>
      </c>
      <c r="C239" s="5">
        <v>5.2</v>
      </c>
      <c r="D239" s="4">
        <v>226</v>
      </c>
      <c r="E239" s="5">
        <v>6.42</v>
      </c>
      <c r="F239" s="4">
        <v>148</v>
      </c>
      <c r="G239" s="5">
        <v>3.58</v>
      </c>
      <c r="H239" s="4">
        <v>0</v>
      </c>
    </row>
    <row r="240" spans="1:8" x14ac:dyDescent="0.2">
      <c r="A240" s="2" t="s">
        <v>64</v>
      </c>
      <c r="B240" s="4">
        <v>512</v>
      </c>
      <c r="C240" s="5">
        <v>6.64</v>
      </c>
      <c r="D240" s="4">
        <v>357</v>
      </c>
      <c r="E240" s="5">
        <v>10.14</v>
      </c>
      <c r="F240" s="4">
        <v>153</v>
      </c>
      <c r="G240" s="5">
        <v>3.7</v>
      </c>
      <c r="H240" s="4">
        <v>0</v>
      </c>
    </row>
    <row r="241" spans="1:8" x14ac:dyDescent="0.2">
      <c r="A241" s="2" t="s">
        <v>65</v>
      </c>
      <c r="B241" s="4">
        <v>208</v>
      </c>
      <c r="C241" s="5">
        <v>2.7</v>
      </c>
      <c r="D241" s="4">
        <v>50</v>
      </c>
      <c r="E241" s="5">
        <v>1.42</v>
      </c>
      <c r="F241" s="4">
        <v>155</v>
      </c>
      <c r="G241" s="5">
        <v>3.75</v>
      </c>
      <c r="H241" s="4">
        <v>2</v>
      </c>
    </row>
    <row r="242" spans="1:8" x14ac:dyDescent="0.2">
      <c r="A242" s="1" t="s">
        <v>15</v>
      </c>
      <c r="B242" s="4">
        <v>1451</v>
      </c>
      <c r="C242" s="5">
        <v>100.00000000000001</v>
      </c>
      <c r="D242" s="4">
        <v>893</v>
      </c>
      <c r="E242" s="5">
        <v>99.990000000000009</v>
      </c>
      <c r="F242" s="4">
        <v>515</v>
      </c>
      <c r="G242" s="5">
        <v>100.00999999999999</v>
      </c>
      <c r="H242" s="4">
        <v>3</v>
      </c>
    </row>
    <row r="243" spans="1:8" x14ac:dyDescent="0.2">
      <c r="A243" s="2" t="s">
        <v>51</v>
      </c>
      <c r="B243" s="4">
        <v>2</v>
      </c>
      <c r="C243" s="5">
        <v>0.14000000000000001</v>
      </c>
      <c r="D243" s="4">
        <v>0</v>
      </c>
      <c r="E243" s="5">
        <v>0</v>
      </c>
      <c r="F243" s="4">
        <v>2</v>
      </c>
      <c r="G243" s="5">
        <v>0.39</v>
      </c>
      <c r="H243" s="4">
        <v>0</v>
      </c>
    </row>
    <row r="244" spans="1:8" x14ac:dyDescent="0.2">
      <c r="A244" s="2" t="s">
        <v>52</v>
      </c>
      <c r="B244" s="4">
        <v>161</v>
      </c>
      <c r="C244" s="5">
        <v>11.1</v>
      </c>
      <c r="D244" s="4">
        <v>66</v>
      </c>
      <c r="E244" s="5">
        <v>7.39</v>
      </c>
      <c r="F244" s="4">
        <v>95</v>
      </c>
      <c r="G244" s="5">
        <v>18.45</v>
      </c>
      <c r="H244" s="4">
        <v>0</v>
      </c>
    </row>
    <row r="245" spans="1:8" x14ac:dyDescent="0.2">
      <c r="A245" s="2" t="s">
        <v>53</v>
      </c>
      <c r="B245" s="4">
        <v>96</v>
      </c>
      <c r="C245" s="5">
        <v>6.62</v>
      </c>
      <c r="D245" s="4">
        <v>52</v>
      </c>
      <c r="E245" s="5">
        <v>5.82</v>
      </c>
      <c r="F245" s="4">
        <v>44</v>
      </c>
      <c r="G245" s="5">
        <v>8.5399999999999991</v>
      </c>
      <c r="H245" s="4">
        <v>0</v>
      </c>
    </row>
    <row r="246" spans="1:8" x14ac:dyDescent="0.2">
      <c r="A246" s="2" t="s">
        <v>54</v>
      </c>
      <c r="B246" s="4">
        <v>4</v>
      </c>
      <c r="C246" s="5">
        <v>0.28000000000000003</v>
      </c>
      <c r="D246" s="4">
        <v>0</v>
      </c>
      <c r="E246" s="5">
        <v>0</v>
      </c>
      <c r="F246" s="4">
        <v>4</v>
      </c>
      <c r="G246" s="5">
        <v>0.78</v>
      </c>
      <c r="H246" s="4">
        <v>0</v>
      </c>
    </row>
    <row r="247" spans="1:8" x14ac:dyDescent="0.2">
      <c r="A247" s="2" t="s">
        <v>55</v>
      </c>
      <c r="B247" s="4">
        <v>9</v>
      </c>
      <c r="C247" s="5">
        <v>0.62</v>
      </c>
      <c r="D247" s="4">
        <v>2</v>
      </c>
      <c r="E247" s="5">
        <v>0.22</v>
      </c>
      <c r="F247" s="4">
        <v>7</v>
      </c>
      <c r="G247" s="5">
        <v>1.36</v>
      </c>
      <c r="H247" s="4">
        <v>0</v>
      </c>
    </row>
    <row r="248" spans="1:8" x14ac:dyDescent="0.2">
      <c r="A248" s="2" t="s">
        <v>56</v>
      </c>
      <c r="B248" s="4">
        <v>8</v>
      </c>
      <c r="C248" s="5">
        <v>0.55000000000000004</v>
      </c>
      <c r="D248" s="4">
        <v>1</v>
      </c>
      <c r="E248" s="5">
        <v>0.11</v>
      </c>
      <c r="F248" s="4">
        <v>7</v>
      </c>
      <c r="G248" s="5">
        <v>1.36</v>
      </c>
      <c r="H248" s="4">
        <v>0</v>
      </c>
    </row>
    <row r="249" spans="1:8" x14ac:dyDescent="0.2">
      <c r="A249" s="2" t="s">
        <v>57</v>
      </c>
      <c r="B249" s="4">
        <v>376</v>
      </c>
      <c r="C249" s="5">
        <v>25.91</v>
      </c>
      <c r="D249" s="4">
        <v>238</v>
      </c>
      <c r="E249" s="5">
        <v>26.65</v>
      </c>
      <c r="F249" s="4">
        <v>138</v>
      </c>
      <c r="G249" s="5">
        <v>26.8</v>
      </c>
      <c r="H249" s="4">
        <v>0</v>
      </c>
    </row>
    <row r="250" spans="1:8" x14ac:dyDescent="0.2">
      <c r="A250" s="2" t="s">
        <v>58</v>
      </c>
      <c r="B250" s="4">
        <v>18</v>
      </c>
      <c r="C250" s="5">
        <v>1.24</v>
      </c>
      <c r="D250" s="4">
        <v>3</v>
      </c>
      <c r="E250" s="5">
        <v>0.34</v>
      </c>
      <c r="F250" s="4">
        <v>15</v>
      </c>
      <c r="G250" s="5">
        <v>2.91</v>
      </c>
      <c r="H250" s="4">
        <v>0</v>
      </c>
    </row>
    <row r="251" spans="1:8" x14ac:dyDescent="0.2">
      <c r="A251" s="2" t="s">
        <v>59</v>
      </c>
      <c r="B251" s="4">
        <v>151</v>
      </c>
      <c r="C251" s="5">
        <v>10.41</v>
      </c>
      <c r="D251" s="4">
        <v>71</v>
      </c>
      <c r="E251" s="5">
        <v>7.95</v>
      </c>
      <c r="F251" s="4">
        <v>79</v>
      </c>
      <c r="G251" s="5">
        <v>15.34</v>
      </c>
      <c r="H251" s="4">
        <v>1</v>
      </c>
    </row>
    <row r="252" spans="1:8" x14ac:dyDescent="0.2">
      <c r="A252" s="2" t="s">
        <v>60</v>
      </c>
      <c r="B252" s="4">
        <v>71</v>
      </c>
      <c r="C252" s="5">
        <v>4.8899999999999997</v>
      </c>
      <c r="D252" s="4">
        <v>51</v>
      </c>
      <c r="E252" s="5">
        <v>5.71</v>
      </c>
      <c r="F252" s="4">
        <v>20</v>
      </c>
      <c r="G252" s="5">
        <v>3.88</v>
      </c>
      <c r="H252" s="4">
        <v>0</v>
      </c>
    </row>
    <row r="253" spans="1:8" x14ac:dyDescent="0.2">
      <c r="A253" s="2" t="s">
        <v>61</v>
      </c>
      <c r="B253" s="4">
        <v>191</v>
      </c>
      <c r="C253" s="5">
        <v>13.16</v>
      </c>
      <c r="D253" s="4">
        <v>173</v>
      </c>
      <c r="E253" s="5">
        <v>19.37</v>
      </c>
      <c r="F253" s="4">
        <v>16</v>
      </c>
      <c r="G253" s="5">
        <v>3.11</v>
      </c>
      <c r="H253" s="4">
        <v>0</v>
      </c>
    </row>
    <row r="254" spans="1:8" x14ac:dyDescent="0.2">
      <c r="A254" s="2" t="s">
        <v>62</v>
      </c>
      <c r="B254" s="4">
        <v>163</v>
      </c>
      <c r="C254" s="5">
        <v>11.23</v>
      </c>
      <c r="D254" s="4">
        <v>128</v>
      </c>
      <c r="E254" s="5">
        <v>14.33</v>
      </c>
      <c r="F254" s="4">
        <v>26</v>
      </c>
      <c r="G254" s="5">
        <v>5.05</v>
      </c>
      <c r="H254" s="4">
        <v>0</v>
      </c>
    </row>
    <row r="255" spans="1:8" x14ac:dyDescent="0.2">
      <c r="A255" s="2" t="s">
        <v>63</v>
      </c>
      <c r="B255" s="4">
        <v>61</v>
      </c>
      <c r="C255" s="5">
        <v>4.2</v>
      </c>
      <c r="D255" s="4">
        <v>38</v>
      </c>
      <c r="E255" s="5">
        <v>4.26</v>
      </c>
      <c r="F255" s="4">
        <v>9</v>
      </c>
      <c r="G255" s="5">
        <v>1.75</v>
      </c>
      <c r="H255" s="4">
        <v>0</v>
      </c>
    </row>
    <row r="256" spans="1:8" x14ac:dyDescent="0.2">
      <c r="A256" s="2" t="s">
        <v>64</v>
      </c>
      <c r="B256" s="4">
        <v>84</v>
      </c>
      <c r="C256" s="5">
        <v>5.79</v>
      </c>
      <c r="D256" s="4">
        <v>45</v>
      </c>
      <c r="E256" s="5">
        <v>5.04</v>
      </c>
      <c r="F256" s="4">
        <v>29</v>
      </c>
      <c r="G256" s="5">
        <v>5.63</v>
      </c>
      <c r="H256" s="4">
        <v>0</v>
      </c>
    </row>
    <row r="257" spans="1:8" x14ac:dyDescent="0.2">
      <c r="A257" s="2" t="s">
        <v>65</v>
      </c>
      <c r="B257" s="4">
        <v>56</v>
      </c>
      <c r="C257" s="5">
        <v>3.86</v>
      </c>
      <c r="D257" s="4">
        <v>25</v>
      </c>
      <c r="E257" s="5">
        <v>2.8</v>
      </c>
      <c r="F257" s="4">
        <v>24</v>
      </c>
      <c r="G257" s="5">
        <v>4.66</v>
      </c>
      <c r="H257" s="4">
        <v>2</v>
      </c>
    </row>
    <row r="258" spans="1:8" x14ac:dyDescent="0.2">
      <c r="A258" s="1" t="s">
        <v>16</v>
      </c>
      <c r="B258" s="4">
        <v>1884</v>
      </c>
      <c r="C258" s="5">
        <v>100</v>
      </c>
      <c r="D258" s="4">
        <v>684</v>
      </c>
      <c r="E258" s="5">
        <v>99.97999999999999</v>
      </c>
      <c r="F258" s="4">
        <v>1182</v>
      </c>
      <c r="G258" s="5">
        <v>99.99</v>
      </c>
      <c r="H258" s="4">
        <v>17</v>
      </c>
    </row>
    <row r="259" spans="1:8" x14ac:dyDescent="0.2">
      <c r="A259" s="2" t="s">
        <v>51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52</v>
      </c>
      <c r="B260" s="4">
        <v>97</v>
      </c>
      <c r="C260" s="5">
        <v>5.15</v>
      </c>
      <c r="D260" s="4">
        <v>18</v>
      </c>
      <c r="E260" s="5">
        <v>2.63</v>
      </c>
      <c r="F260" s="4">
        <v>79</v>
      </c>
      <c r="G260" s="5">
        <v>6.68</v>
      </c>
      <c r="H260" s="4">
        <v>0</v>
      </c>
    </row>
    <row r="261" spans="1:8" x14ac:dyDescent="0.2">
      <c r="A261" s="2" t="s">
        <v>53</v>
      </c>
      <c r="B261" s="4">
        <v>39</v>
      </c>
      <c r="C261" s="5">
        <v>2.0699999999999998</v>
      </c>
      <c r="D261" s="4">
        <v>5</v>
      </c>
      <c r="E261" s="5">
        <v>0.73</v>
      </c>
      <c r="F261" s="4">
        <v>34</v>
      </c>
      <c r="G261" s="5">
        <v>2.88</v>
      </c>
      <c r="H261" s="4">
        <v>0</v>
      </c>
    </row>
    <row r="262" spans="1:8" x14ac:dyDescent="0.2">
      <c r="A262" s="2" t="s">
        <v>54</v>
      </c>
      <c r="B262" s="4">
        <v>2</v>
      </c>
      <c r="C262" s="5">
        <v>0.11</v>
      </c>
      <c r="D262" s="4">
        <v>0</v>
      </c>
      <c r="E262" s="5">
        <v>0</v>
      </c>
      <c r="F262" s="4">
        <v>1</v>
      </c>
      <c r="G262" s="5">
        <v>0.08</v>
      </c>
      <c r="H262" s="4">
        <v>0</v>
      </c>
    </row>
    <row r="263" spans="1:8" x14ac:dyDescent="0.2">
      <c r="A263" s="2" t="s">
        <v>55</v>
      </c>
      <c r="B263" s="4">
        <v>32</v>
      </c>
      <c r="C263" s="5">
        <v>1.7</v>
      </c>
      <c r="D263" s="4">
        <v>4</v>
      </c>
      <c r="E263" s="5">
        <v>0.57999999999999996</v>
      </c>
      <c r="F263" s="4">
        <v>28</v>
      </c>
      <c r="G263" s="5">
        <v>2.37</v>
      </c>
      <c r="H263" s="4">
        <v>0</v>
      </c>
    </row>
    <row r="264" spans="1:8" x14ac:dyDescent="0.2">
      <c r="A264" s="2" t="s">
        <v>56</v>
      </c>
      <c r="B264" s="4">
        <v>12</v>
      </c>
      <c r="C264" s="5">
        <v>0.64</v>
      </c>
      <c r="D264" s="4">
        <v>2</v>
      </c>
      <c r="E264" s="5">
        <v>0.28999999999999998</v>
      </c>
      <c r="F264" s="4">
        <v>10</v>
      </c>
      <c r="G264" s="5">
        <v>0.85</v>
      </c>
      <c r="H264" s="4">
        <v>0</v>
      </c>
    </row>
    <row r="265" spans="1:8" x14ac:dyDescent="0.2">
      <c r="A265" s="2" t="s">
        <v>57</v>
      </c>
      <c r="B265" s="4">
        <v>435</v>
      </c>
      <c r="C265" s="5">
        <v>23.09</v>
      </c>
      <c r="D265" s="4">
        <v>147</v>
      </c>
      <c r="E265" s="5">
        <v>21.49</v>
      </c>
      <c r="F265" s="4">
        <v>286</v>
      </c>
      <c r="G265" s="5">
        <v>24.2</v>
      </c>
      <c r="H265" s="4">
        <v>2</v>
      </c>
    </row>
    <row r="266" spans="1:8" x14ac:dyDescent="0.2">
      <c r="A266" s="2" t="s">
        <v>58</v>
      </c>
      <c r="B266" s="4">
        <v>11</v>
      </c>
      <c r="C266" s="5">
        <v>0.57999999999999996</v>
      </c>
      <c r="D266" s="4">
        <v>0</v>
      </c>
      <c r="E266" s="5">
        <v>0</v>
      </c>
      <c r="F266" s="4">
        <v>11</v>
      </c>
      <c r="G266" s="5">
        <v>0.93</v>
      </c>
      <c r="H266" s="4">
        <v>0</v>
      </c>
    </row>
    <row r="267" spans="1:8" x14ac:dyDescent="0.2">
      <c r="A267" s="2" t="s">
        <v>59</v>
      </c>
      <c r="B267" s="4">
        <v>345</v>
      </c>
      <c r="C267" s="5">
        <v>18.309999999999999</v>
      </c>
      <c r="D267" s="4">
        <v>20</v>
      </c>
      <c r="E267" s="5">
        <v>2.92</v>
      </c>
      <c r="F267" s="4">
        <v>322</v>
      </c>
      <c r="G267" s="5">
        <v>27.24</v>
      </c>
      <c r="H267" s="4">
        <v>3</v>
      </c>
    </row>
    <row r="268" spans="1:8" x14ac:dyDescent="0.2">
      <c r="A268" s="2" t="s">
        <v>60</v>
      </c>
      <c r="B268" s="4">
        <v>192</v>
      </c>
      <c r="C268" s="5">
        <v>10.19</v>
      </c>
      <c r="D268" s="4">
        <v>65</v>
      </c>
      <c r="E268" s="5">
        <v>9.5</v>
      </c>
      <c r="F268" s="4">
        <v>127</v>
      </c>
      <c r="G268" s="5">
        <v>10.74</v>
      </c>
      <c r="H268" s="4">
        <v>0</v>
      </c>
    </row>
    <row r="269" spans="1:8" x14ac:dyDescent="0.2">
      <c r="A269" s="2" t="s">
        <v>61</v>
      </c>
      <c r="B269" s="4">
        <v>199</v>
      </c>
      <c r="C269" s="5">
        <v>10.56</v>
      </c>
      <c r="D269" s="4">
        <v>129</v>
      </c>
      <c r="E269" s="5">
        <v>18.86</v>
      </c>
      <c r="F269" s="4">
        <v>70</v>
      </c>
      <c r="G269" s="5">
        <v>5.92</v>
      </c>
      <c r="H269" s="4">
        <v>0</v>
      </c>
    </row>
    <row r="270" spans="1:8" x14ac:dyDescent="0.2">
      <c r="A270" s="2" t="s">
        <v>62</v>
      </c>
      <c r="B270" s="4">
        <v>224</v>
      </c>
      <c r="C270" s="5">
        <v>11.89</v>
      </c>
      <c r="D270" s="4">
        <v>139</v>
      </c>
      <c r="E270" s="5">
        <v>20.32</v>
      </c>
      <c r="F270" s="4">
        <v>85</v>
      </c>
      <c r="G270" s="5">
        <v>7.19</v>
      </c>
      <c r="H270" s="4">
        <v>0</v>
      </c>
    </row>
    <row r="271" spans="1:8" x14ac:dyDescent="0.2">
      <c r="A271" s="2" t="s">
        <v>63</v>
      </c>
      <c r="B271" s="4">
        <v>91</v>
      </c>
      <c r="C271" s="5">
        <v>4.83</v>
      </c>
      <c r="D271" s="4">
        <v>45</v>
      </c>
      <c r="E271" s="5">
        <v>6.58</v>
      </c>
      <c r="F271" s="4">
        <v>45</v>
      </c>
      <c r="G271" s="5">
        <v>3.81</v>
      </c>
      <c r="H271" s="4">
        <v>1</v>
      </c>
    </row>
    <row r="272" spans="1:8" x14ac:dyDescent="0.2">
      <c r="A272" s="2" t="s">
        <v>64</v>
      </c>
      <c r="B272" s="4">
        <v>136</v>
      </c>
      <c r="C272" s="5">
        <v>7.22</v>
      </c>
      <c r="D272" s="4">
        <v>103</v>
      </c>
      <c r="E272" s="5">
        <v>15.06</v>
      </c>
      <c r="F272" s="4">
        <v>33</v>
      </c>
      <c r="G272" s="5">
        <v>2.79</v>
      </c>
      <c r="H272" s="4">
        <v>0</v>
      </c>
    </row>
    <row r="273" spans="1:8" x14ac:dyDescent="0.2">
      <c r="A273" s="2" t="s">
        <v>65</v>
      </c>
      <c r="B273" s="4">
        <v>69</v>
      </c>
      <c r="C273" s="5">
        <v>3.66</v>
      </c>
      <c r="D273" s="4">
        <v>7</v>
      </c>
      <c r="E273" s="5">
        <v>1.02</v>
      </c>
      <c r="F273" s="4">
        <v>51</v>
      </c>
      <c r="G273" s="5">
        <v>4.3099999999999996</v>
      </c>
      <c r="H273" s="4">
        <v>11</v>
      </c>
    </row>
    <row r="274" spans="1:8" x14ac:dyDescent="0.2">
      <c r="A274" s="1" t="s">
        <v>17</v>
      </c>
      <c r="B274" s="4">
        <v>3141</v>
      </c>
      <c r="C274" s="5">
        <v>99.990000000000009</v>
      </c>
      <c r="D274" s="4">
        <v>1440</v>
      </c>
      <c r="E274" s="5">
        <v>100.01</v>
      </c>
      <c r="F274" s="4">
        <v>1692</v>
      </c>
      <c r="G274" s="5">
        <v>100.01</v>
      </c>
      <c r="H274" s="4">
        <v>3</v>
      </c>
    </row>
    <row r="275" spans="1:8" x14ac:dyDescent="0.2">
      <c r="A275" s="2" t="s">
        <v>51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52</v>
      </c>
      <c r="B276" s="4">
        <v>465</v>
      </c>
      <c r="C276" s="5">
        <v>14.8</v>
      </c>
      <c r="D276" s="4">
        <v>81</v>
      </c>
      <c r="E276" s="5">
        <v>5.63</v>
      </c>
      <c r="F276" s="4">
        <v>384</v>
      </c>
      <c r="G276" s="5">
        <v>22.7</v>
      </c>
      <c r="H276" s="4">
        <v>0</v>
      </c>
    </row>
    <row r="277" spans="1:8" x14ac:dyDescent="0.2">
      <c r="A277" s="2" t="s">
        <v>53</v>
      </c>
      <c r="B277" s="4">
        <v>242</v>
      </c>
      <c r="C277" s="5">
        <v>7.7</v>
      </c>
      <c r="D277" s="4">
        <v>61</v>
      </c>
      <c r="E277" s="5">
        <v>4.24</v>
      </c>
      <c r="F277" s="4">
        <v>181</v>
      </c>
      <c r="G277" s="5">
        <v>10.7</v>
      </c>
      <c r="H277" s="4">
        <v>0</v>
      </c>
    </row>
    <row r="278" spans="1:8" x14ac:dyDescent="0.2">
      <c r="A278" s="2" t="s">
        <v>54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55</v>
      </c>
      <c r="B279" s="4">
        <v>32</v>
      </c>
      <c r="C279" s="5">
        <v>1.02</v>
      </c>
      <c r="D279" s="4">
        <v>2</v>
      </c>
      <c r="E279" s="5">
        <v>0.14000000000000001</v>
      </c>
      <c r="F279" s="4">
        <v>30</v>
      </c>
      <c r="G279" s="5">
        <v>1.77</v>
      </c>
      <c r="H279" s="4">
        <v>0</v>
      </c>
    </row>
    <row r="280" spans="1:8" x14ac:dyDescent="0.2">
      <c r="A280" s="2" t="s">
        <v>56</v>
      </c>
      <c r="B280" s="4">
        <v>28</v>
      </c>
      <c r="C280" s="5">
        <v>0.89</v>
      </c>
      <c r="D280" s="4">
        <v>3</v>
      </c>
      <c r="E280" s="5">
        <v>0.21</v>
      </c>
      <c r="F280" s="4">
        <v>25</v>
      </c>
      <c r="G280" s="5">
        <v>1.48</v>
      </c>
      <c r="H280" s="4">
        <v>0</v>
      </c>
    </row>
    <row r="281" spans="1:8" x14ac:dyDescent="0.2">
      <c r="A281" s="2" t="s">
        <v>57</v>
      </c>
      <c r="B281" s="4">
        <v>654</v>
      </c>
      <c r="C281" s="5">
        <v>20.82</v>
      </c>
      <c r="D281" s="4">
        <v>299</v>
      </c>
      <c r="E281" s="5">
        <v>20.76</v>
      </c>
      <c r="F281" s="4">
        <v>353</v>
      </c>
      <c r="G281" s="5">
        <v>20.86</v>
      </c>
      <c r="H281" s="4">
        <v>2</v>
      </c>
    </row>
    <row r="282" spans="1:8" x14ac:dyDescent="0.2">
      <c r="A282" s="2" t="s">
        <v>58</v>
      </c>
      <c r="B282" s="4">
        <v>10</v>
      </c>
      <c r="C282" s="5">
        <v>0.32</v>
      </c>
      <c r="D282" s="4">
        <v>0</v>
      </c>
      <c r="E282" s="5">
        <v>0</v>
      </c>
      <c r="F282" s="4">
        <v>10</v>
      </c>
      <c r="G282" s="5">
        <v>0.59</v>
      </c>
      <c r="H282" s="4">
        <v>0</v>
      </c>
    </row>
    <row r="283" spans="1:8" x14ac:dyDescent="0.2">
      <c r="A283" s="2" t="s">
        <v>59</v>
      </c>
      <c r="B283" s="4">
        <v>394</v>
      </c>
      <c r="C283" s="5">
        <v>12.54</v>
      </c>
      <c r="D283" s="4">
        <v>55</v>
      </c>
      <c r="E283" s="5">
        <v>3.82</v>
      </c>
      <c r="F283" s="4">
        <v>338</v>
      </c>
      <c r="G283" s="5">
        <v>19.98</v>
      </c>
      <c r="H283" s="4">
        <v>0</v>
      </c>
    </row>
    <row r="284" spans="1:8" x14ac:dyDescent="0.2">
      <c r="A284" s="2" t="s">
        <v>60</v>
      </c>
      <c r="B284" s="4">
        <v>146</v>
      </c>
      <c r="C284" s="5">
        <v>4.6500000000000004</v>
      </c>
      <c r="D284" s="4">
        <v>69</v>
      </c>
      <c r="E284" s="5">
        <v>4.79</v>
      </c>
      <c r="F284" s="4">
        <v>77</v>
      </c>
      <c r="G284" s="5">
        <v>4.55</v>
      </c>
      <c r="H284" s="4">
        <v>0</v>
      </c>
    </row>
    <row r="285" spans="1:8" x14ac:dyDescent="0.2">
      <c r="A285" s="2" t="s">
        <v>61</v>
      </c>
      <c r="B285" s="4">
        <v>422</v>
      </c>
      <c r="C285" s="5">
        <v>13.44</v>
      </c>
      <c r="D285" s="4">
        <v>356</v>
      </c>
      <c r="E285" s="5">
        <v>24.72</v>
      </c>
      <c r="F285" s="4">
        <v>65</v>
      </c>
      <c r="G285" s="5">
        <v>3.84</v>
      </c>
      <c r="H285" s="4">
        <v>0</v>
      </c>
    </row>
    <row r="286" spans="1:8" x14ac:dyDescent="0.2">
      <c r="A286" s="2" t="s">
        <v>62</v>
      </c>
      <c r="B286" s="4">
        <v>365</v>
      </c>
      <c r="C286" s="5">
        <v>11.62</v>
      </c>
      <c r="D286" s="4">
        <v>286</v>
      </c>
      <c r="E286" s="5">
        <v>19.86</v>
      </c>
      <c r="F286" s="4">
        <v>79</v>
      </c>
      <c r="G286" s="5">
        <v>4.67</v>
      </c>
      <c r="H286" s="4">
        <v>0</v>
      </c>
    </row>
    <row r="287" spans="1:8" x14ac:dyDescent="0.2">
      <c r="A287" s="2" t="s">
        <v>63</v>
      </c>
      <c r="B287" s="4">
        <v>137</v>
      </c>
      <c r="C287" s="5">
        <v>4.3600000000000003</v>
      </c>
      <c r="D287" s="4">
        <v>96</v>
      </c>
      <c r="E287" s="5">
        <v>6.67</v>
      </c>
      <c r="F287" s="4">
        <v>37</v>
      </c>
      <c r="G287" s="5">
        <v>2.19</v>
      </c>
      <c r="H287" s="4">
        <v>1</v>
      </c>
    </row>
    <row r="288" spans="1:8" x14ac:dyDescent="0.2">
      <c r="A288" s="2" t="s">
        <v>64</v>
      </c>
      <c r="B288" s="4">
        <v>170</v>
      </c>
      <c r="C288" s="5">
        <v>5.41</v>
      </c>
      <c r="D288" s="4">
        <v>106</v>
      </c>
      <c r="E288" s="5">
        <v>7.36</v>
      </c>
      <c r="F288" s="4">
        <v>64</v>
      </c>
      <c r="G288" s="5">
        <v>3.78</v>
      </c>
      <c r="H288" s="4">
        <v>0</v>
      </c>
    </row>
    <row r="289" spans="1:8" x14ac:dyDescent="0.2">
      <c r="A289" s="2" t="s">
        <v>65</v>
      </c>
      <c r="B289" s="4">
        <v>76</v>
      </c>
      <c r="C289" s="5">
        <v>2.42</v>
      </c>
      <c r="D289" s="4">
        <v>26</v>
      </c>
      <c r="E289" s="5">
        <v>1.81</v>
      </c>
      <c r="F289" s="4">
        <v>49</v>
      </c>
      <c r="G289" s="5">
        <v>2.9</v>
      </c>
      <c r="H289" s="4">
        <v>0</v>
      </c>
    </row>
    <row r="290" spans="1:8" x14ac:dyDescent="0.2">
      <c r="A290" s="1" t="s">
        <v>18</v>
      </c>
      <c r="B290" s="4">
        <v>724</v>
      </c>
      <c r="C290" s="5">
        <v>99.99</v>
      </c>
      <c r="D290" s="4">
        <v>435</v>
      </c>
      <c r="E290" s="5">
        <v>100.00999999999999</v>
      </c>
      <c r="F290" s="4">
        <v>270</v>
      </c>
      <c r="G290" s="5">
        <v>99.969999999999985</v>
      </c>
      <c r="H290" s="4">
        <v>1</v>
      </c>
    </row>
    <row r="291" spans="1:8" x14ac:dyDescent="0.2">
      <c r="A291" s="2" t="s">
        <v>51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52</v>
      </c>
      <c r="B292" s="4">
        <v>108</v>
      </c>
      <c r="C292" s="5">
        <v>14.92</v>
      </c>
      <c r="D292" s="4">
        <v>41</v>
      </c>
      <c r="E292" s="5">
        <v>9.43</v>
      </c>
      <c r="F292" s="4">
        <v>67</v>
      </c>
      <c r="G292" s="5">
        <v>24.81</v>
      </c>
      <c r="H292" s="4">
        <v>0</v>
      </c>
    </row>
    <row r="293" spans="1:8" x14ac:dyDescent="0.2">
      <c r="A293" s="2" t="s">
        <v>53</v>
      </c>
      <c r="B293" s="4">
        <v>54</v>
      </c>
      <c r="C293" s="5">
        <v>7.46</v>
      </c>
      <c r="D293" s="4">
        <v>15</v>
      </c>
      <c r="E293" s="5">
        <v>3.45</v>
      </c>
      <c r="F293" s="4">
        <v>39</v>
      </c>
      <c r="G293" s="5">
        <v>14.44</v>
      </c>
      <c r="H293" s="4">
        <v>0</v>
      </c>
    </row>
    <row r="294" spans="1:8" x14ac:dyDescent="0.2">
      <c r="A294" s="2" t="s">
        <v>54</v>
      </c>
      <c r="B294" s="4">
        <v>1</v>
      </c>
      <c r="C294" s="5">
        <v>0.14000000000000001</v>
      </c>
      <c r="D294" s="4">
        <v>0</v>
      </c>
      <c r="E294" s="5">
        <v>0</v>
      </c>
      <c r="F294" s="4">
        <v>1</v>
      </c>
      <c r="G294" s="5">
        <v>0.37</v>
      </c>
      <c r="H294" s="4">
        <v>0</v>
      </c>
    </row>
    <row r="295" spans="1:8" x14ac:dyDescent="0.2">
      <c r="A295" s="2" t="s">
        <v>55</v>
      </c>
      <c r="B295" s="4">
        <v>4</v>
      </c>
      <c r="C295" s="5">
        <v>0.55000000000000004</v>
      </c>
      <c r="D295" s="4">
        <v>0</v>
      </c>
      <c r="E295" s="5">
        <v>0</v>
      </c>
      <c r="F295" s="4">
        <v>4</v>
      </c>
      <c r="G295" s="5">
        <v>1.48</v>
      </c>
      <c r="H295" s="4">
        <v>0</v>
      </c>
    </row>
    <row r="296" spans="1:8" x14ac:dyDescent="0.2">
      <c r="A296" s="2" t="s">
        <v>56</v>
      </c>
      <c r="B296" s="4">
        <v>12</v>
      </c>
      <c r="C296" s="5">
        <v>1.66</v>
      </c>
      <c r="D296" s="4">
        <v>2</v>
      </c>
      <c r="E296" s="5">
        <v>0.46</v>
      </c>
      <c r="F296" s="4">
        <v>10</v>
      </c>
      <c r="G296" s="5">
        <v>3.7</v>
      </c>
      <c r="H296" s="4">
        <v>0</v>
      </c>
    </row>
    <row r="297" spans="1:8" x14ac:dyDescent="0.2">
      <c r="A297" s="2" t="s">
        <v>57</v>
      </c>
      <c r="B297" s="4">
        <v>148</v>
      </c>
      <c r="C297" s="5">
        <v>20.440000000000001</v>
      </c>
      <c r="D297" s="4">
        <v>85</v>
      </c>
      <c r="E297" s="5">
        <v>19.54</v>
      </c>
      <c r="F297" s="4">
        <v>63</v>
      </c>
      <c r="G297" s="5">
        <v>23.33</v>
      </c>
      <c r="H297" s="4">
        <v>0</v>
      </c>
    </row>
    <row r="298" spans="1:8" x14ac:dyDescent="0.2">
      <c r="A298" s="2" t="s">
        <v>58</v>
      </c>
      <c r="B298" s="4">
        <v>6</v>
      </c>
      <c r="C298" s="5">
        <v>0.83</v>
      </c>
      <c r="D298" s="4">
        <v>1</v>
      </c>
      <c r="E298" s="5">
        <v>0.23</v>
      </c>
      <c r="F298" s="4">
        <v>5</v>
      </c>
      <c r="G298" s="5">
        <v>1.85</v>
      </c>
      <c r="H298" s="4">
        <v>0</v>
      </c>
    </row>
    <row r="299" spans="1:8" x14ac:dyDescent="0.2">
      <c r="A299" s="2" t="s">
        <v>59</v>
      </c>
      <c r="B299" s="4">
        <v>83</v>
      </c>
      <c r="C299" s="5">
        <v>11.46</v>
      </c>
      <c r="D299" s="4">
        <v>57</v>
      </c>
      <c r="E299" s="5">
        <v>13.1</v>
      </c>
      <c r="F299" s="4">
        <v>25</v>
      </c>
      <c r="G299" s="5">
        <v>9.26</v>
      </c>
      <c r="H299" s="4">
        <v>0</v>
      </c>
    </row>
    <row r="300" spans="1:8" x14ac:dyDescent="0.2">
      <c r="A300" s="2" t="s">
        <v>60</v>
      </c>
      <c r="B300" s="4">
        <v>30</v>
      </c>
      <c r="C300" s="5">
        <v>4.1399999999999997</v>
      </c>
      <c r="D300" s="4">
        <v>15</v>
      </c>
      <c r="E300" s="5">
        <v>3.45</v>
      </c>
      <c r="F300" s="4">
        <v>14</v>
      </c>
      <c r="G300" s="5">
        <v>5.19</v>
      </c>
      <c r="H300" s="4">
        <v>0</v>
      </c>
    </row>
    <row r="301" spans="1:8" x14ac:dyDescent="0.2">
      <c r="A301" s="2" t="s">
        <v>61</v>
      </c>
      <c r="B301" s="4">
        <v>84</v>
      </c>
      <c r="C301" s="5">
        <v>11.6</v>
      </c>
      <c r="D301" s="4">
        <v>71</v>
      </c>
      <c r="E301" s="5">
        <v>16.32</v>
      </c>
      <c r="F301" s="4">
        <v>13</v>
      </c>
      <c r="G301" s="5">
        <v>4.8099999999999996</v>
      </c>
      <c r="H301" s="4">
        <v>0</v>
      </c>
    </row>
    <row r="302" spans="1:8" x14ac:dyDescent="0.2">
      <c r="A302" s="2" t="s">
        <v>62</v>
      </c>
      <c r="B302" s="4">
        <v>93</v>
      </c>
      <c r="C302" s="5">
        <v>12.85</v>
      </c>
      <c r="D302" s="4">
        <v>80</v>
      </c>
      <c r="E302" s="5">
        <v>18.39</v>
      </c>
      <c r="F302" s="4">
        <v>12</v>
      </c>
      <c r="G302" s="5">
        <v>4.4400000000000004</v>
      </c>
      <c r="H302" s="4">
        <v>1</v>
      </c>
    </row>
    <row r="303" spans="1:8" x14ac:dyDescent="0.2">
      <c r="A303" s="2" t="s">
        <v>63</v>
      </c>
      <c r="B303" s="4">
        <v>46</v>
      </c>
      <c r="C303" s="5">
        <v>6.35</v>
      </c>
      <c r="D303" s="4">
        <v>32</v>
      </c>
      <c r="E303" s="5">
        <v>7.36</v>
      </c>
      <c r="F303" s="4">
        <v>6</v>
      </c>
      <c r="G303" s="5">
        <v>2.2200000000000002</v>
      </c>
      <c r="H303" s="4">
        <v>0</v>
      </c>
    </row>
    <row r="304" spans="1:8" x14ac:dyDescent="0.2">
      <c r="A304" s="2" t="s">
        <v>64</v>
      </c>
      <c r="B304" s="4">
        <v>35</v>
      </c>
      <c r="C304" s="5">
        <v>4.83</v>
      </c>
      <c r="D304" s="4">
        <v>23</v>
      </c>
      <c r="E304" s="5">
        <v>5.29</v>
      </c>
      <c r="F304" s="4">
        <v>6</v>
      </c>
      <c r="G304" s="5">
        <v>2.2200000000000002</v>
      </c>
      <c r="H304" s="4">
        <v>0</v>
      </c>
    </row>
    <row r="305" spans="1:8" x14ac:dyDescent="0.2">
      <c r="A305" s="2" t="s">
        <v>65</v>
      </c>
      <c r="B305" s="4">
        <v>20</v>
      </c>
      <c r="C305" s="5">
        <v>2.76</v>
      </c>
      <c r="D305" s="4">
        <v>13</v>
      </c>
      <c r="E305" s="5">
        <v>2.99</v>
      </c>
      <c r="F305" s="4">
        <v>5</v>
      </c>
      <c r="G305" s="5">
        <v>1.85</v>
      </c>
      <c r="H305" s="4">
        <v>0</v>
      </c>
    </row>
    <row r="306" spans="1:8" x14ac:dyDescent="0.2">
      <c r="A306" s="1" t="s">
        <v>19</v>
      </c>
      <c r="B306" s="4">
        <v>2902</v>
      </c>
      <c r="C306" s="5">
        <v>99.99</v>
      </c>
      <c r="D306" s="4">
        <v>1932</v>
      </c>
      <c r="E306" s="5">
        <v>100.00000000000001</v>
      </c>
      <c r="F306" s="4">
        <v>910</v>
      </c>
      <c r="G306" s="5">
        <v>100.00999999999999</v>
      </c>
      <c r="H306" s="4">
        <v>12</v>
      </c>
    </row>
    <row r="307" spans="1:8" x14ac:dyDescent="0.2">
      <c r="A307" s="2" t="s">
        <v>51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52</v>
      </c>
      <c r="B308" s="4">
        <v>393</v>
      </c>
      <c r="C308" s="5">
        <v>13.54</v>
      </c>
      <c r="D308" s="4">
        <v>232</v>
      </c>
      <c r="E308" s="5">
        <v>12.01</v>
      </c>
      <c r="F308" s="4">
        <v>161</v>
      </c>
      <c r="G308" s="5">
        <v>17.690000000000001</v>
      </c>
      <c r="H308" s="4">
        <v>0</v>
      </c>
    </row>
    <row r="309" spans="1:8" x14ac:dyDescent="0.2">
      <c r="A309" s="2" t="s">
        <v>53</v>
      </c>
      <c r="B309" s="4">
        <v>316</v>
      </c>
      <c r="C309" s="5">
        <v>10.89</v>
      </c>
      <c r="D309" s="4">
        <v>205</v>
      </c>
      <c r="E309" s="5">
        <v>10.61</v>
      </c>
      <c r="F309" s="4">
        <v>111</v>
      </c>
      <c r="G309" s="5">
        <v>12.2</v>
      </c>
      <c r="H309" s="4">
        <v>0</v>
      </c>
    </row>
    <row r="310" spans="1:8" x14ac:dyDescent="0.2">
      <c r="A310" s="2" t="s">
        <v>54</v>
      </c>
      <c r="B310" s="4">
        <v>2</v>
      </c>
      <c r="C310" s="5">
        <v>7.0000000000000007E-2</v>
      </c>
      <c r="D310" s="4">
        <v>0</v>
      </c>
      <c r="E310" s="5">
        <v>0</v>
      </c>
      <c r="F310" s="4">
        <v>2</v>
      </c>
      <c r="G310" s="5">
        <v>0.22</v>
      </c>
      <c r="H310" s="4">
        <v>0</v>
      </c>
    </row>
    <row r="311" spans="1:8" x14ac:dyDescent="0.2">
      <c r="A311" s="2" t="s">
        <v>55</v>
      </c>
      <c r="B311" s="4">
        <v>23</v>
      </c>
      <c r="C311" s="5">
        <v>0.79</v>
      </c>
      <c r="D311" s="4">
        <v>6</v>
      </c>
      <c r="E311" s="5">
        <v>0.31</v>
      </c>
      <c r="F311" s="4">
        <v>17</v>
      </c>
      <c r="G311" s="5">
        <v>1.87</v>
      </c>
      <c r="H311" s="4">
        <v>0</v>
      </c>
    </row>
    <row r="312" spans="1:8" x14ac:dyDescent="0.2">
      <c r="A312" s="2" t="s">
        <v>56</v>
      </c>
      <c r="B312" s="4">
        <v>22</v>
      </c>
      <c r="C312" s="5">
        <v>0.76</v>
      </c>
      <c r="D312" s="4">
        <v>11</v>
      </c>
      <c r="E312" s="5">
        <v>0.56999999999999995</v>
      </c>
      <c r="F312" s="4">
        <v>9</v>
      </c>
      <c r="G312" s="5">
        <v>0.99</v>
      </c>
      <c r="H312" s="4">
        <v>2</v>
      </c>
    </row>
    <row r="313" spans="1:8" x14ac:dyDescent="0.2">
      <c r="A313" s="2" t="s">
        <v>57</v>
      </c>
      <c r="B313" s="4">
        <v>731</v>
      </c>
      <c r="C313" s="5">
        <v>25.19</v>
      </c>
      <c r="D313" s="4">
        <v>458</v>
      </c>
      <c r="E313" s="5">
        <v>23.71</v>
      </c>
      <c r="F313" s="4">
        <v>273</v>
      </c>
      <c r="G313" s="5">
        <v>30</v>
      </c>
      <c r="H313" s="4">
        <v>0</v>
      </c>
    </row>
    <row r="314" spans="1:8" x14ac:dyDescent="0.2">
      <c r="A314" s="2" t="s">
        <v>58</v>
      </c>
      <c r="B314" s="4">
        <v>19</v>
      </c>
      <c r="C314" s="5">
        <v>0.65</v>
      </c>
      <c r="D314" s="4">
        <v>7</v>
      </c>
      <c r="E314" s="5">
        <v>0.36</v>
      </c>
      <c r="F314" s="4">
        <v>12</v>
      </c>
      <c r="G314" s="5">
        <v>1.32</v>
      </c>
      <c r="H314" s="4">
        <v>0</v>
      </c>
    </row>
    <row r="315" spans="1:8" x14ac:dyDescent="0.2">
      <c r="A315" s="2" t="s">
        <v>59</v>
      </c>
      <c r="B315" s="4">
        <v>169</v>
      </c>
      <c r="C315" s="5">
        <v>5.82</v>
      </c>
      <c r="D315" s="4">
        <v>83</v>
      </c>
      <c r="E315" s="5">
        <v>4.3</v>
      </c>
      <c r="F315" s="4">
        <v>86</v>
      </c>
      <c r="G315" s="5">
        <v>9.4499999999999993</v>
      </c>
      <c r="H315" s="4">
        <v>0</v>
      </c>
    </row>
    <row r="316" spans="1:8" x14ac:dyDescent="0.2">
      <c r="A316" s="2" t="s">
        <v>60</v>
      </c>
      <c r="B316" s="4">
        <v>113</v>
      </c>
      <c r="C316" s="5">
        <v>3.89</v>
      </c>
      <c r="D316" s="4">
        <v>75</v>
      </c>
      <c r="E316" s="5">
        <v>3.88</v>
      </c>
      <c r="F316" s="4">
        <v>37</v>
      </c>
      <c r="G316" s="5">
        <v>4.07</v>
      </c>
      <c r="H316" s="4">
        <v>0</v>
      </c>
    </row>
    <row r="317" spans="1:8" x14ac:dyDescent="0.2">
      <c r="A317" s="2" t="s">
        <v>61</v>
      </c>
      <c r="B317" s="4">
        <v>536</v>
      </c>
      <c r="C317" s="5">
        <v>18.47</v>
      </c>
      <c r="D317" s="4">
        <v>474</v>
      </c>
      <c r="E317" s="5">
        <v>24.53</v>
      </c>
      <c r="F317" s="4">
        <v>62</v>
      </c>
      <c r="G317" s="5">
        <v>6.81</v>
      </c>
      <c r="H317" s="4">
        <v>0</v>
      </c>
    </row>
    <row r="318" spans="1:8" x14ac:dyDescent="0.2">
      <c r="A318" s="2" t="s">
        <v>62</v>
      </c>
      <c r="B318" s="4">
        <v>275</v>
      </c>
      <c r="C318" s="5">
        <v>9.48</v>
      </c>
      <c r="D318" s="4">
        <v>226</v>
      </c>
      <c r="E318" s="5">
        <v>11.7</v>
      </c>
      <c r="F318" s="4">
        <v>47</v>
      </c>
      <c r="G318" s="5">
        <v>5.16</v>
      </c>
      <c r="H318" s="4">
        <v>1</v>
      </c>
    </row>
    <row r="319" spans="1:8" x14ac:dyDescent="0.2">
      <c r="A319" s="2" t="s">
        <v>63</v>
      </c>
      <c r="B319" s="4">
        <v>122</v>
      </c>
      <c r="C319" s="5">
        <v>4.2</v>
      </c>
      <c r="D319" s="4">
        <v>63</v>
      </c>
      <c r="E319" s="5">
        <v>3.26</v>
      </c>
      <c r="F319" s="4">
        <v>20</v>
      </c>
      <c r="G319" s="5">
        <v>2.2000000000000002</v>
      </c>
      <c r="H319" s="4">
        <v>5</v>
      </c>
    </row>
    <row r="320" spans="1:8" x14ac:dyDescent="0.2">
      <c r="A320" s="2" t="s">
        <v>64</v>
      </c>
      <c r="B320" s="4">
        <v>108</v>
      </c>
      <c r="C320" s="5">
        <v>3.72</v>
      </c>
      <c r="D320" s="4">
        <v>63</v>
      </c>
      <c r="E320" s="5">
        <v>3.26</v>
      </c>
      <c r="F320" s="4">
        <v>35</v>
      </c>
      <c r="G320" s="5">
        <v>3.85</v>
      </c>
      <c r="H320" s="4">
        <v>0</v>
      </c>
    </row>
    <row r="321" spans="1:8" x14ac:dyDescent="0.2">
      <c r="A321" s="2" t="s">
        <v>65</v>
      </c>
      <c r="B321" s="4">
        <v>73</v>
      </c>
      <c r="C321" s="5">
        <v>2.52</v>
      </c>
      <c r="D321" s="4">
        <v>29</v>
      </c>
      <c r="E321" s="5">
        <v>1.5</v>
      </c>
      <c r="F321" s="4">
        <v>38</v>
      </c>
      <c r="G321" s="5">
        <v>4.18</v>
      </c>
      <c r="H321" s="4">
        <v>4</v>
      </c>
    </row>
    <row r="322" spans="1:8" x14ac:dyDescent="0.2">
      <c r="A322" s="1" t="s">
        <v>20</v>
      </c>
      <c r="B322" s="4">
        <v>4604</v>
      </c>
      <c r="C322" s="5">
        <v>99.990000000000023</v>
      </c>
      <c r="D322" s="4">
        <v>2531</v>
      </c>
      <c r="E322" s="5">
        <v>100.00999999999999</v>
      </c>
      <c r="F322" s="4">
        <v>2034</v>
      </c>
      <c r="G322" s="5">
        <v>99.98</v>
      </c>
      <c r="H322" s="4">
        <v>11</v>
      </c>
    </row>
    <row r="323" spans="1:8" x14ac:dyDescent="0.2">
      <c r="A323" s="2" t="s">
        <v>51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52</v>
      </c>
      <c r="B324" s="4">
        <v>663</v>
      </c>
      <c r="C324" s="5">
        <v>14.4</v>
      </c>
      <c r="D324" s="4">
        <v>189</v>
      </c>
      <c r="E324" s="5">
        <v>7.47</v>
      </c>
      <c r="F324" s="4">
        <v>474</v>
      </c>
      <c r="G324" s="5">
        <v>23.3</v>
      </c>
      <c r="H324" s="4">
        <v>0</v>
      </c>
    </row>
    <row r="325" spans="1:8" x14ac:dyDescent="0.2">
      <c r="A325" s="2" t="s">
        <v>53</v>
      </c>
      <c r="B325" s="4">
        <v>363</v>
      </c>
      <c r="C325" s="5">
        <v>7.88</v>
      </c>
      <c r="D325" s="4">
        <v>139</v>
      </c>
      <c r="E325" s="5">
        <v>5.49</v>
      </c>
      <c r="F325" s="4">
        <v>224</v>
      </c>
      <c r="G325" s="5">
        <v>11.01</v>
      </c>
      <c r="H325" s="4">
        <v>0</v>
      </c>
    </row>
    <row r="326" spans="1:8" x14ac:dyDescent="0.2">
      <c r="A326" s="2" t="s">
        <v>54</v>
      </c>
      <c r="B326" s="4">
        <v>8</v>
      </c>
      <c r="C326" s="5">
        <v>0.17</v>
      </c>
      <c r="D326" s="4">
        <v>0</v>
      </c>
      <c r="E326" s="5">
        <v>0</v>
      </c>
      <c r="F326" s="4">
        <v>8</v>
      </c>
      <c r="G326" s="5">
        <v>0.39</v>
      </c>
      <c r="H326" s="4">
        <v>0</v>
      </c>
    </row>
    <row r="327" spans="1:8" x14ac:dyDescent="0.2">
      <c r="A327" s="2" t="s">
        <v>55</v>
      </c>
      <c r="B327" s="4">
        <v>27</v>
      </c>
      <c r="C327" s="5">
        <v>0.59</v>
      </c>
      <c r="D327" s="4">
        <v>0</v>
      </c>
      <c r="E327" s="5">
        <v>0</v>
      </c>
      <c r="F327" s="4">
        <v>27</v>
      </c>
      <c r="G327" s="5">
        <v>1.33</v>
      </c>
      <c r="H327" s="4">
        <v>0</v>
      </c>
    </row>
    <row r="328" spans="1:8" x14ac:dyDescent="0.2">
      <c r="A328" s="2" t="s">
        <v>56</v>
      </c>
      <c r="B328" s="4">
        <v>41</v>
      </c>
      <c r="C328" s="5">
        <v>0.89</v>
      </c>
      <c r="D328" s="4">
        <v>5</v>
      </c>
      <c r="E328" s="5">
        <v>0.2</v>
      </c>
      <c r="F328" s="4">
        <v>36</v>
      </c>
      <c r="G328" s="5">
        <v>1.77</v>
      </c>
      <c r="H328" s="4">
        <v>0</v>
      </c>
    </row>
    <row r="329" spans="1:8" x14ac:dyDescent="0.2">
      <c r="A329" s="2" t="s">
        <v>57</v>
      </c>
      <c r="B329" s="4">
        <v>940</v>
      </c>
      <c r="C329" s="5">
        <v>20.420000000000002</v>
      </c>
      <c r="D329" s="4">
        <v>447</v>
      </c>
      <c r="E329" s="5">
        <v>17.66</v>
      </c>
      <c r="F329" s="4">
        <v>493</v>
      </c>
      <c r="G329" s="5">
        <v>24.24</v>
      </c>
      <c r="H329" s="4">
        <v>0</v>
      </c>
    </row>
    <row r="330" spans="1:8" x14ac:dyDescent="0.2">
      <c r="A330" s="2" t="s">
        <v>58</v>
      </c>
      <c r="B330" s="4">
        <v>32</v>
      </c>
      <c r="C330" s="5">
        <v>0.7</v>
      </c>
      <c r="D330" s="4">
        <v>10</v>
      </c>
      <c r="E330" s="5">
        <v>0.4</v>
      </c>
      <c r="F330" s="4">
        <v>22</v>
      </c>
      <c r="G330" s="5">
        <v>1.08</v>
      </c>
      <c r="H330" s="4">
        <v>0</v>
      </c>
    </row>
    <row r="331" spans="1:8" x14ac:dyDescent="0.2">
      <c r="A331" s="2" t="s">
        <v>59</v>
      </c>
      <c r="B331" s="4">
        <v>468</v>
      </c>
      <c r="C331" s="5">
        <v>10.17</v>
      </c>
      <c r="D331" s="4">
        <v>207</v>
      </c>
      <c r="E331" s="5">
        <v>8.18</v>
      </c>
      <c r="F331" s="4">
        <v>261</v>
      </c>
      <c r="G331" s="5">
        <v>12.83</v>
      </c>
      <c r="H331" s="4">
        <v>0</v>
      </c>
    </row>
    <row r="332" spans="1:8" x14ac:dyDescent="0.2">
      <c r="A332" s="2" t="s">
        <v>60</v>
      </c>
      <c r="B332" s="4">
        <v>209</v>
      </c>
      <c r="C332" s="5">
        <v>4.54</v>
      </c>
      <c r="D332" s="4">
        <v>131</v>
      </c>
      <c r="E332" s="5">
        <v>5.18</v>
      </c>
      <c r="F332" s="4">
        <v>78</v>
      </c>
      <c r="G332" s="5">
        <v>3.83</v>
      </c>
      <c r="H332" s="4">
        <v>0</v>
      </c>
    </row>
    <row r="333" spans="1:8" x14ac:dyDescent="0.2">
      <c r="A333" s="2" t="s">
        <v>61</v>
      </c>
      <c r="B333" s="4">
        <v>578</v>
      </c>
      <c r="C333" s="5">
        <v>12.55</v>
      </c>
      <c r="D333" s="4">
        <v>510</v>
      </c>
      <c r="E333" s="5">
        <v>20.149999999999999</v>
      </c>
      <c r="F333" s="4">
        <v>66</v>
      </c>
      <c r="G333" s="5">
        <v>3.24</v>
      </c>
      <c r="H333" s="4">
        <v>0</v>
      </c>
    </row>
    <row r="334" spans="1:8" x14ac:dyDescent="0.2">
      <c r="A334" s="2" t="s">
        <v>62</v>
      </c>
      <c r="B334" s="4">
        <v>636</v>
      </c>
      <c r="C334" s="5">
        <v>13.81</v>
      </c>
      <c r="D334" s="4">
        <v>505</v>
      </c>
      <c r="E334" s="5">
        <v>19.95</v>
      </c>
      <c r="F334" s="4">
        <v>129</v>
      </c>
      <c r="G334" s="5">
        <v>6.34</v>
      </c>
      <c r="H334" s="4">
        <v>1</v>
      </c>
    </row>
    <row r="335" spans="1:8" x14ac:dyDescent="0.2">
      <c r="A335" s="2" t="s">
        <v>63</v>
      </c>
      <c r="B335" s="4">
        <v>246</v>
      </c>
      <c r="C335" s="5">
        <v>5.34</v>
      </c>
      <c r="D335" s="4">
        <v>182</v>
      </c>
      <c r="E335" s="5">
        <v>7.19</v>
      </c>
      <c r="F335" s="4">
        <v>52</v>
      </c>
      <c r="G335" s="5">
        <v>2.56</v>
      </c>
      <c r="H335" s="4">
        <v>1</v>
      </c>
    </row>
    <row r="336" spans="1:8" x14ac:dyDescent="0.2">
      <c r="A336" s="2" t="s">
        <v>64</v>
      </c>
      <c r="B336" s="4">
        <v>228</v>
      </c>
      <c r="C336" s="5">
        <v>4.95</v>
      </c>
      <c r="D336" s="4">
        <v>145</v>
      </c>
      <c r="E336" s="5">
        <v>5.73</v>
      </c>
      <c r="F336" s="4">
        <v>72</v>
      </c>
      <c r="G336" s="5">
        <v>3.54</v>
      </c>
      <c r="H336" s="4">
        <v>0</v>
      </c>
    </row>
    <row r="337" spans="1:8" x14ac:dyDescent="0.2">
      <c r="A337" s="2" t="s">
        <v>65</v>
      </c>
      <c r="B337" s="4">
        <v>165</v>
      </c>
      <c r="C337" s="5">
        <v>3.58</v>
      </c>
      <c r="D337" s="4">
        <v>61</v>
      </c>
      <c r="E337" s="5">
        <v>2.41</v>
      </c>
      <c r="F337" s="4">
        <v>92</v>
      </c>
      <c r="G337" s="5">
        <v>4.5199999999999996</v>
      </c>
      <c r="H337" s="4">
        <v>9</v>
      </c>
    </row>
    <row r="338" spans="1:8" x14ac:dyDescent="0.2">
      <c r="A338" s="1" t="s">
        <v>21</v>
      </c>
      <c r="B338" s="4">
        <v>989</v>
      </c>
      <c r="C338" s="5">
        <v>99.990000000000009</v>
      </c>
      <c r="D338" s="4">
        <v>570</v>
      </c>
      <c r="E338" s="5">
        <v>99.990000000000009</v>
      </c>
      <c r="F338" s="4">
        <v>400</v>
      </c>
      <c r="G338" s="5">
        <v>100</v>
      </c>
      <c r="H338" s="4">
        <v>1</v>
      </c>
    </row>
    <row r="339" spans="1:8" x14ac:dyDescent="0.2">
      <c r="A339" s="2" t="s">
        <v>51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52</v>
      </c>
      <c r="B340" s="4">
        <v>140</v>
      </c>
      <c r="C340" s="5">
        <v>14.16</v>
      </c>
      <c r="D340" s="4">
        <v>43</v>
      </c>
      <c r="E340" s="5">
        <v>7.54</v>
      </c>
      <c r="F340" s="4">
        <v>97</v>
      </c>
      <c r="G340" s="5">
        <v>24.25</v>
      </c>
      <c r="H340" s="4">
        <v>0</v>
      </c>
    </row>
    <row r="341" spans="1:8" x14ac:dyDescent="0.2">
      <c r="A341" s="2" t="s">
        <v>53</v>
      </c>
      <c r="B341" s="4">
        <v>56</v>
      </c>
      <c r="C341" s="5">
        <v>5.66</v>
      </c>
      <c r="D341" s="4">
        <v>18</v>
      </c>
      <c r="E341" s="5">
        <v>3.16</v>
      </c>
      <c r="F341" s="4">
        <v>38</v>
      </c>
      <c r="G341" s="5">
        <v>9.5</v>
      </c>
      <c r="H341" s="4">
        <v>0</v>
      </c>
    </row>
    <row r="342" spans="1:8" x14ac:dyDescent="0.2">
      <c r="A342" s="2" t="s">
        <v>54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2">
      <c r="A343" s="2" t="s">
        <v>55</v>
      </c>
      <c r="B343" s="4">
        <v>1</v>
      </c>
      <c r="C343" s="5">
        <v>0.1</v>
      </c>
      <c r="D343" s="4">
        <v>0</v>
      </c>
      <c r="E343" s="5">
        <v>0</v>
      </c>
      <c r="F343" s="4">
        <v>1</v>
      </c>
      <c r="G343" s="5">
        <v>0.25</v>
      </c>
      <c r="H343" s="4">
        <v>0</v>
      </c>
    </row>
    <row r="344" spans="1:8" x14ac:dyDescent="0.2">
      <c r="A344" s="2" t="s">
        <v>56</v>
      </c>
      <c r="B344" s="4">
        <v>12</v>
      </c>
      <c r="C344" s="5">
        <v>1.21</v>
      </c>
      <c r="D344" s="4">
        <v>3</v>
      </c>
      <c r="E344" s="5">
        <v>0.53</v>
      </c>
      <c r="F344" s="4">
        <v>9</v>
      </c>
      <c r="G344" s="5">
        <v>2.25</v>
      </c>
      <c r="H344" s="4">
        <v>0</v>
      </c>
    </row>
    <row r="345" spans="1:8" x14ac:dyDescent="0.2">
      <c r="A345" s="2" t="s">
        <v>57</v>
      </c>
      <c r="B345" s="4">
        <v>255</v>
      </c>
      <c r="C345" s="5">
        <v>25.78</v>
      </c>
      <c r="D345" s="4">
        <v>142</v>
      </c>
      <c r="E345" s="5">
        <v>24.91</v>
      </c>
      <c r="F345" s="4">
        <v>113</v>
      </c>
      <c r="G345" s="5">
        <v>28.25</v>
      </c>
      <c r="H345" s="4">
        <v>0</v>
      </c>
    </row>
    <row r="346" spans="1:8" x14ac:dyDescent="0.2">
      <c r="A346" s="2" t="s">
        <v>58</v>
      </c>
      <c r="B346" s="4">
        <v>12</v>
      </c>
      <c r="C346" s="5">
        <v>1.21</v>
      </c>
      <c r="D346" s="4">
        <v>2</v>
      </c>
      <c r="E346" s="5">
        <v>0.35</v>
      </c>
      <c r="F346" s="4">
        <v>9</v>
      </c>
      <c r="G346" s="5">
        <v>2.25</v>
      </c>
      <c r="H346" s="4">
        <v>1</v>
      </c>
    </row>
    <row r="347" spans="1:8" x14ac:dyDescent="0.2">
      <c r="A347" s="2" t="s">
        <v>59</v>
      </c>
      <c r="B347" s="4">
        <v>71</v>
      </c>
      <c r="C347" s="5">
        <v>7.18</v>
      </c>
      <c r="D347" s="4">
        <v>35</v>
      </c>
      <c r="E347" s="5">
        <v>6.14</v>
      </c>
      <c r="F347" s="4">
        <v>35</v>
      </c>
      <c r="G347" s="5">
        <v>8.75</v>
      </c>
      <c r="H347" s="4">
        <v>0</v>
      </c>
    </row>
    <row r="348" spans="1:8" x14ac:dyDescent="0.2">
      <c r="A348" s="2" t="s">
        <v>60</v>
      </c>
      <c r="B348" s="4">
        <v>36</v>
      </c>
      <c r="C348" s="5">
        <v>3.64</v>
      </c>
      <c r="D348" s="4">
        <v>27</v>
      </c>
      <c r="E348" s="5">
        <v>4.74</v>
      </c>
      <c r="F348" s="4">
        <v>8</v>
      </c>
      <c r="G348" s="5">
        <v>2</v>
      </c>
      <c r="H348" s="4">
        <v>0</v>
      </c>
    </row>
    <row r="349" spans="1:8" x14ac:dyDescent="0.2">
      <c r="A349" s="2" t="s">
        <v>61</v>
      </c>
      <c r="B349" s="4">
        <v>145</v>
      </c>
      <c r="C349" s="5">
        <v>14.66</v>
      </c>
      <c r="D349" s="4">
        <v>125</v>
      </c>
      <c r="E349" s="5">
        <v>21.93</v>
      </c>
      <c r="F349" s="4">
        <v>20</v>
      </c>
      <c r="G349" s="5">
        <v>5</v>
      </c>
      <c r="H349" s="4">
        <v>0</v>
      </c>
    </row>
    <row r="350" spans="1:8" x14ac:dyDescent="0.2">
      <c r="A350" s="2" t="s">
        <v>62</v>
      </c>
      <c r="B350" s="4">
        <v>123</v>
      </c>
      <c r="C350" s="5">
        <v>12.44</v>
      </c>
      <c r="D350" s="4">
        <v>107</v>
      </c>
      <c r="E350" s="5">
        <v>18.77</v>
      </c>
      <c r="F350" s="4">
        <v>16</v>
      </c>
      <c r="G350" s="5">
        <v>4</v>
      </c>
      <c r="H350" s="4">
        <v>0</v>
      </c>
    </row>
    <row r="351" spans="1:8" x14ac:dyDescent="0.2">
      <c r="A351" s="2" t="s">
        <v>63</v>
      </c>
      <c r="B351" s="4">
        <v>56</v>
      </c>
      <c r="C351" s="5">
        <v>5.66</v>
      </c>
      <c r="D351" s="4">
        <v>34</v>
      </c>
      <c r="E351" s="5">
        <v>5.96</v>
      </c>
      <c r="F351" s="4">
        <v>13</v>
      </c>
      <c r="G351" s="5">
        <v>3.25</v>
      </c>
      <c r="H351" s="4">
        <v>0</v>
      </c>
    </row>
    <row r="352" spans="1:8" x14ac:dyDescent="0.2">
      <c r="A352" s="2" t="s">
        <v>64</v>
      </c>
      <c r="B352" s="4">
        <v>57</v>
      </c>
      <c r="C352" s="5">
        <v>5.76</v>
      </c>
      <c r="D352" s="4">
        <v>26</v>
      </c>
      <c r="E352" s="5">
        <v>4.5599999999999996</v>
      </c>
      <c r="F352" s="4">
        <v>25</v>
      </c>
      <c r="G352" s="5">
        <v>6.25</v>
      </c>
      <c r="H352" s="4">
        <v>0</v>
      </c>
    </row>
    <row r="353" spans="1:8" x14ac:dyDescent="0.2">
      <c r="A353" s="2" t="s">
        <v>65</v>
      </c>
      <c r="B353" s="4">
        <v>25</v>
      </c>
      <c r="C353" s="5">
        <v>2.5299999999999998</v>
      </c>
      <c r="D353" s="4">
        <v>8</v>
      </c>
      <c r="E353" s="5">
        <v>1.4</v>
      </c>
      <c r="F353" s="4">
        <v>16</v>
      </c>
      <c r="G353" s="5">
        <v>4</v>
      </c>
      <c r="H353" s="4">
        <v>0</v>
      </c>
    </row>
    <row r="354" spans="1:8" x14ac:dyDescent="0.2">
      <c r="A354" s="1" t="s">
        <v>22</v>
      </c>
      <c r="B354" s="4">
        <v>1329</v>
      </c>
      <c r="C354" s="5">
        <v>100.00999999999999</v>
      </c>
      <c r="D354" s="4">
        <v>788</v>
      </c>
      <c r="E354" s="5">
        <v>100.00999999999999</v>
      </c>
      <c r="F354" s="4">
        <v>529</v>
      </c>
      <c r="G354" s="5">
        <v>100.00999999999999</v>
      </c>
      <c r="H354" s="4">
        <v>6</v>
      </c>
    </row>
    <row r="355" spans="1:8" x14ac:dyDescent="0.2">
      <c r="A355" s="2" t="s">
        <v>51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52</v>
      </c>
      <c r="B356" s="4">
        <v>164</v>
      </c>
      <c r="C356" s="5">
        <v>12.34</v>
      </c>
      <c r="D356" s="4">
        <v>81</v>
      </c>
      <c r="E356" s="5">
        <v>10.28</v>
      </c>
      <c r="F356" s="4">
        <v>83</v>
      </c>
      <c r="G356" s="5">
        <v>15.69</v>
      </c>
      <c r="H356" s="4">
        <v>0</v>
      </c>
    </row>
    <row r="357" spans="1:8" x14ac:dyDescent="0.2">
      <c r="A357" s="2" t="s">
        <v>53</v>
      </c>
      <c r="B357" s="4">
        <v>282</v>
      </c>
      <c r="C357" s="5">
        <v>21.22</v>
      </c>
      <c r="D357" s="4">
        <v>159</v>
      </c>
      <c r="E357" s="5">
        <v>20.18</v>
      </c>
      <c r="F357" s="4">
        <v>123</v>
      </c>
      <c r="G357" s="5">
        <v>23.25</v>
      </c>
      <c r="H357" s="4">
        <v>0</v>
      </c>
    </row>
    <row r="358" spans="1:8" x14ac:dyDescent="0.2">
      <c r="A358" s="2" t="s">
        <v>54</v>
      </c>
      <c r="B358" s="4">
        <v>1</v>
      </c>
      <c r="C358" s="5">
        <v>0.08</v>
      </c>
      <c r="D358" s="4">
        <v>0</v>
      </c>
      <c r="E358" s="5">
        <v>0</v>
      </c>
      <c r="F358" s="4">
        <v>1</v>
      </c>
      <c r="G358" s="5">
        <v>0.19</v>
      </c>
      <c r="H358" s="4">
        <v>0</v>
      </c>
    </row>
    <row r="359" spans="1:8" x14ac:dyDescent="0.2">
      <c r="A359" s="2" t="s">
        <v>55</v>
      </c>
      <c r="B359" s="4">
        <v>4</v>
      </c>
      <c r="C359" s="5">
        <v>0.3</v>
      </c>
      <c r="D359" s="4">
        <v>1</v>
      </c>
      <c r="E359" s="5">
        <v>0.13</v>
      </c>
      <c r="F359" s="4">
        <v>3</v>
      </c>
      <c r="G359" s="5">
        <v>0.56999999999999995</v>
      </c>
      <c r="H359" s="4">
        <v>0</v>
      </c>
    </row>
    <row r="360" spans="1:8" x14ac:dyDescent="0.2">
      <c r="A360" s="2" t="s">
        <v>56</v>
      </c>
      <c r="B360" s="4">
        <v>10</v>
      </c>
      <c r="C360" s="5">
        <v>0.75</v>
      </c>
      <c r="D360" s="4">
        <v>3</v>
      </c>
      <c r="E360" s="5">
        <v>0.38</v>
      </c>
      <c r="F360" s="4">
        <v>7</v>
      </c>
      <c r="G360" s="5">
        <v>1.32</v>
      </c>
      <c r="H360" s="4">
        <v>0</v>
      </c>
    </row>
    <row r="361" spans="1:8" x14ac:dyDescent="0.2">
      <c r="A361" s="2" t="s">
        <v>57</v>
      </c>
      <c r="B361" s="4">
        <v>324</v>
      </c>
      <c r="C361" s="5">
        <v>24.38</v>
      </c>
      <c r="D361" s="4">
        <v>174</v>
      </c>
      <c r="E361" s="5">
        <v>22.08</v>
      </c>
      <c r="F361" s="4">
        <v>148</v>
      </c>
      <c r="G361" s="5">
        <v>27.98</v>
      </c>
      <c r="H361" s="4">
        <v>2</v>
      </c>
    </row>
    <row r="362" spans="1:8" x14ac:dyDescent="0.2">
      <c r="A362" s="2" t="s">
        <v>58</v>
      </c>
      <c r="B362" s="4">
        <v>16</v>
      </c>
      <c r="C362" s="5">
        <v>1.2</v>
      </c>
      <c r="D362" s="4">
        <v>4</v>
      </c>
      <c r="E362" s="5">
        <v>0.51</v>
      </c>
      <c r="F362" s="4">
        <v>12</v>
      </c>
      <c r="G362" s="5">
        <v>2.27</v>
      </c>
      <c r="H362" s="4">
        <v>0</v>
      </c>
    </row>
    <row r="363" spans="1:8" x14ac:dyDescent="0.2">
      <c r="A363" s="2" t="s">
        <v>59</v>
      </c>
      <c r="B363" s="4">
        <v>53</v>
      </c>
      <c r="C363" s="5">
        <v>3.99</v>
      </c>
      <c r="D363" s="4">
        <v>17</v>
      </c>
      <c r="E363" s="5">
        <v>2.16</v>
      </c>
      <c r="F363" s="4">
        <v>36</v>
      </c>
      <c r="G363" s="5">
        <v>6.81</v>
      </c>
      <c r="H363" s="4">
        <v>0</v>
      </c>
    </row>
    <row r="364" spans="1:8" x14ac:dyDescent="0.2">
      <c r="A364" s="2" t="s">
        <v>60</v>
      </c>
      <c r="B364" s="4">
        <v>61</v>
      </c>
      <c r="C364" s="5">
        <v>4.59</v>
      </c>
      <c r="D364" s="4">
        <v>41</v>
      </c>
      <c r="E364" s="5">
        <v>5.2</v>
      </c>
      <c r="F364" s="4">
        <v>20</v>
      </c>
      <c r="G364" s="5">
        <v>3.78</v>
      </c>
      <c r="H364" s="4">
        <v>0</v>
      </c>
    </row>
    <row r="365" spans="1:8" x14ac:dyDescent="0.2">
      <c r="A365" s="2" t="s">
        <v>61</v>
      </c>
      <c r="B365" s="4">
        <v>144</v>
      </c>
      <c r="C365" s="5">
        <v>10.84</v>
      </c>
      <c r="D365" s="4">
        <v>130</v>
      </c>
      <c r="E365" s="5">
        <v>16.5</v>
      </c>
      <c r="F365" s="4">
        <v>12</v>
      </c>
      <c r="G365" s="5">
        <v>2.27</v>
      </c>
      <c r="H365" s="4">
        <v>1</v>
      </c>
    </row>
    <row r="366" spans="1:8" x14ac:dyDescent="0.2">
      <c r="A366" s="2" t="s">
        <v>62</v>
      </c>
      <c r="B366" s="4">
        <v>139</v>
      </c>
      <c r="C366" s="5">
        <v>10.46</v>
      </c>
      <c r="D366" s="4">
        <v>110</v>
      </c>
      <c r="E366" s="5">
        <v>13.96</v>
      </c>
      <c r="F366" s="4">
        <v>29</v>
      </c>
      <c r="G366" s="5">
        <v>5.48</v>
      </c>
      <c r="H366" s="4">
        <v>0</v>
      </c>
    </row>
    <row r="367" spans="1:8" x14ac:dyDescent="0.2">
      <c r="A367" s="2" t="s">
        <v>63</v>
      </c>
      <c r="B367" s="4">
        <v>36</v>
      </c>
      <c r="C367" s="5">
        <v>2.71</v>
      </c>
      <c r="D367" s="4">
        <v>23</v>
      </c>
      <c r="E367" s="5">
        <v>2.92</v>
      </c>
      <c r="F367" s="4">
        <v>13</v>
      </c>
      <c r="G367" s="5">
        <v>2.46</v>
      </c>
      <c r="H367" s="4">
        <v>0</v>
      </c>
    </row>
    <row r="368" spans="1:8" x14ac:dyDescent="0.2">
      <c r="A368" s="2" t="s">
        <v>64</v>
      </c>
      <c r="B368" s="4">
        <v>42</v>
      </c>
      <c r="C368" s="5">
        <v>3.16</v>
      </c>
      <c r="D368" s="4">
        <v>26</v>
      </c>
      <c r="E368" s="5">
        <v>3.3</v>
      </c>
      <c r="F368" s="4">
        <v>11</v>
      </c>
      <c r="G368" s="5">
        <v>2.08</v>
      </c>
      <c r="H368" s="4">
        <v>1</v>
      </c>
    </row>
    <row r="369" spans="1:8" x14ac:dyDescent="0.2">
      <c r="A369" s="2" t="s">
        <v>65</v>
      </c>
      <c r="B369" s="4">
        <v>53</v>
      </c>
      <c r="C369" s="5">
        <v>3.99</v>
      </c>
      <c r="D369" s="4">
        <v>19</v>
      </c>
      <c r="E369" s="5">
        <v>2.41</v>
      </c>
      <c r="F369" s="4">
        <v>31</v>
      </c>
      <c r="G369" s="5">
        <v>5.86</v>
      </c>
      <c r="H369" s="4">
        <v>2</v>
      </c>
    </row>
    <row r="370" spans="1:8" x14ac:dyDescent="0.2">
      <c r="A370" s="1" t="s">
        <v>23</v>
      </c>
      <c r="B370" s="4">
        <v>3030</v>
      </c>
      <c r="C370" s="5">
        <v>100.03</v>
      </c>
      <c r="D370" s="4">
        <v>1337</v>
      </c>
      <c r="E370" s="5">
        <v>100</v>
      </c>
      <c r="F370" s="4">
        <v>1684</v>
      </c>
      <c r="G370" s="5">
        <v>100.00999999999999</v>
      </c>
      <c r="H370" s="4">
        <v>6</v>
      </c>
    </row>
    <row r="371" spans="1:8" x14ac:dyDescent="0.2">
      <c r="A371" s="2" t="s">
        <v>51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52</v>
      </c>
      <c r="B372" s="4">
        <v>395</v>
      </c>
      <c r="C372" s="5">
        <v>13.04</v>
      </c>
      <c r="D372" s="4">
        <v>77</v>
      </c>
      <c r="E372" s="5">
        <v>5.76</v>
      </c>
      <c r="F372" s="4">
        <v>318</v>
      </c>
      <c r="G372" s="5">
        <v>18.88</v>
      </c>
      <c r="H372" s="4">
        <v>0</v>
      </c>
    </row>
    <row r="373" spans="1:8" x14ac:dyDescent="0.2">
      <c r="A373" s="2" t="s">
        <v>53</v>
      </c>
      <c r="B373" s="4">
        <v>86</v>
      </c>
      <c r="C373" s="5">
        <v>2.84</v>
      </c>
      <c r="D373" s="4">
        <v>32</v>
      </c>
      <c r="E373" s="5">
        <v>2.39</v>
      </c>
      <c r="F373" s="4">
        <v>54</v>
      </c>
      <c r="G373" s="5">
        <v>3.21</v>
      </c>
      <c r="H373" s="4">
        <v>0</v>
      </c>
    </row>
    <row r="374" spans="1:8" x14ac:dyDescent="0.2">
      <c r="A374" s="2" t="s">
        <v>54</v>
      </c>
      <c r="B374" s="4">
        <v>2</v>
      </c>
      <c r="C374" s="5">
        <v>7.0000000000000007E-2</v>
      </c>
      <c r="D374" s="4">
        <v>0</v>
      </c>
      <c r="E374" s="5">
        <v>0</v>
      </c>
      <c r="F374" s="4">
        <v>2</v>
      </c>
      <c r="G374" s="5">
        <v>0.12</v>
      </c>
      <c r="H374" s="4">
        <v>0</v>
      </c>
    </row>
    <row r="375" spans="1:8" x14ac:dyDescent="0.2">
      <c r="A375" s="2" t="s">
        <v>55</v>
      </c>
      <c r="B375" s="4">
        <v>47</v>
      </c>
      <c r="C375" s="5">
        <v>1.55</v>
      </c>
      <c r="D375" s="4">
        <v>3</v>
      </c>
      <c r="E375" s="5">
        <v>0.22</v>
      </c>
      <c r="F375" s="4">
        <v>44</v>
      </c>
      <c r="G375" s="5">
        <v>2.61</v>
      </c>
      <c r="H375" s="4">
        <v>0</v>
      </c>
    </row>
    <row r="376" spans="1:8" x14ac:dyDescent="0.2">
      <c r="A376" s="2" t="s">
        <v>56</v>
      </c>
      <c r="B376" s="4">
        <v>20</v>
      </c>
      <c r="C376" s="5">
        <v>0.66</v>
      </c>
      <c r="D376" s="4">
        <v>0</v>
      </c>
      <c r="E376" s="5">
        <v>0</v>
      </c>
      <c r="F376" s="4">
        <v>19</v>
      </c>
      <c r="G376" s="5">
        <v>1.1299999999999999</v>
      </c>
      <c r="H376" s="4">
        <v>1</v>
      </c>
    </row>
    <row r="377" spans="1:8" x14ac:dyDescent="0.2">
      <c r="A377" s="2" t="s">
        <v>57</v>
      </c>
      <c r="B377" s="4">
        <v>661</v>
      </c>
      <c r="C377" s="5">
        <v>21.82</v>
      </c>
      <c r="D377" s="4">
        <v>289</v>
      </c>
      <c r="E377" s="5">
        <v>21.62</v>
      </c>
      <c r="F377" s="4">
        <v>372</v>
      </c>
      <c r="G377" s="5">
        <v>22.09</v>
      </c>
      <c r="H377" s="4">
        <v>0</v>
      </c>
    </row>
    <row r="378" spans="1:8" x14ac:dyDescent="0.2">
      <c r="A378" s="2" t="s">
        <v>58</v>
      </c>
      <c r="B378" s="4">
        <v>19</v>
      </c>
      <c r="C378" s="5">
        <v>0.63</v>
      </c>
      <c r="D378" s="4">
        <v>2</v>
      </c>
      <c r="E378" s="5">
        <v>0.15</v>
      </c>
      <c r="F378" s="4">
        <v>17</v>
      </c>
      <c r="G378" s="5">
        <v>1.01</v>
      </c>
      <c r="H378" s="4">
        <v>0</v>
      </c>
    </row>
    <row r="379" spans="1:8" x14ac:dyDescent="0.2">
      <c r="A379" s="2" t="s">
        <v>59</v>
      </c>
      <c r="B379" s="4">
        <v>466</v>
      </c>
      <c r="C379" s="5">
        <v>15.38</v>
      </c>
      <c r="D379" s="4">
        <v>79</v>
      </c>
      <c r="E379" s="5">
        <v>5.91</v>
      </c>
      <c r="F379" s="4">
        <v>386</v>
      </c>
      <c r="G379" s="5">
        <v>22.92</v>
      </c>
      <c r="H379" s="4">
        <v>1</v>
      </c>
    </row>
    <row r="380" spans="1:8" x14ac:dyDescent="0.2">
      <c r="A380" s="2" t="s">
        <v>60</v>
      </c>
      <c r="B380" s="4">
        <v>205</v>
      </c>
      <c r="C380" s="5">
        <v>6.77</v>
      </c>
      <c r="D380" s="4">
        <v>90</v>
      </c>
      <c r="E380" s="5">
        <v>6.73</v>
      </c>
      <c r="F380" s="4">
        <v>115</v>
      </c>
      <c r="G380" s="5">
        <v>6.83</v>
      </c>
      <c r="H380" s="4">
        <v>0</v>
      </c>
    </row>
    <row r="381" spans="1:8" x14ac:dyDescent="0.2">
      <c r="A381" s="2" t="s">
        <v>61</v>
      </c>
      <c r="B381" s="4">
        <v>306</v>
      </c>
      <c r="C381" s="5">
        <v>10.1</v>
      </c>
      <c r="D381" s="4">
        <v>251</v>
      </c>
      <c r="E381" s="5">
        <v>18.77</v>
      </c>
      <c r="F381" s="4">
        <v>55</v>
      </c>
      <c r="G381" s="5">
        <v>3.27</v>
      </c>
      <c r="H381" s="4">
        <v>0</v>
      </c>
    </row>
    <row r="382" spans="1:8" x14ac:dyDescent="0.2">
      <c r="A382" s="2" t="s">
        <v>62</v>
      </c>
      <c r="B382" s="4">
        <v>361</v>
      </c>
      <c r="C382" s="5">
        <v>11.91</v>
      </c>
      <c r="D382" s="4">
        <v>253</v>
      </c>
      <c r="E382" s="5">
        <v>18.920000000000002</v>
      </c>
      <c r="F382" s="4">
        <v>105</v>
      </c>
      <c r="G382" s="5">
        <v>6.24</v>
      </c>
      <c r="H382" s="4">
        <v>0</v>
      </c>
    </row>
    <row r="383" spans="1:8" x14ac:dyDescent="0.2">
      <c r="A383" s="2" t="s">
        <v>63</v>
      </c>
      <c r="B383" s="4">
        <v>165</v>
      </c>
      <c r="C383" s="5">
        <v>5.45</v>
      </c>
      <c r="D383" s="4">
        <v>118</v>
      </c>
      <c r="E383" s="5">
        <v>8.83</v>
      </c>
      <c r="F383" s="4">
        <v>46</v>
      </c>
      <c r="G383" s="5">
        <v>2.73</v>
      </c>
      <c r="H383" s="4">
        <v>1</v>
      </c>
    </row>
    <row r="384" spans="1:8" x14ac:dyDescent="0.2">
      <c r="A384" s="2" t="s">
        <v>64</v>
      </c>
      <c r="B384" s="4">
        <v>192</v>
      </c>
      <c r="C384" s="5">
        <v>6.34</v>
      </c>
      <c r="D384" s="4">
        <v>123</v>
      </c>
      <c r="E384" s="5">
        <v>9.1999999999999993</v>
      </c>
      <c r="F384" s="4">
        <v>69</v>
      </c>
      <c r="G384" s="5">
        <v>4.0999999999999996</v>
      </c>
      <c r="H384" s="4">
        <v>0</v>
      </c>
    </row>
    <row r="385" spans="1:8" x14ac:dyDescent="0.2">
      <c r="A385" s="2" t="s">
        <v>65</v>
      </c>
      <c r="B385" s="4">
        <v>105</v>
      </c>
      <c r="C385" s="5">
        <v>3.47</v>
      </c>
      <c r="D385" s="4">
        <v>20</v>
      </c>
      <c r="E385" s="5">
        <v>1.5</v>
      </c>
      <c r="F385" s="4">
        <v>82</v>
      </c>
      <c r="G385" s="5">
        <v>4.87</v>
      </c>
      <c r="H385" s="4">
        <v>3</v>
      </c>
    </row>
    <row r="386" spans="1:8" x14ac:dyDescent="0.2">
      <c r="A386" s="1" t="s">
        <v>24</v>
      </c>
      <c r="B386" s="4">
        <v>1752</v>
      </c>
      <c r="C386" s="5">
        <v>99.990000000000009</v>
      </c>
      <c r="D386" s="4">
        <v>1006</v>
      </c>
      <c r="E386" s="5">
        <v>100.01</v>
      </c>
      <c r="F386" s="4">
        <v>736</v>
      </c>
      <c r="G386" s="5">
        <v>100</v>
      </c>
      <c r="H386" s="4">
        <v>2</v>
      </c>
    </row>
    <row r="387" spans="1:8" x14ac:dyDescent="0.2">
      <c r="A387" s="2" t="s">
        <v>51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52</v>
      </c>
      <c r="B388" s="4">
        <v>234</v>
      </c>
      <c r="C388" s="5">
        <v>13.36</v>
      </c>
      <c r="D388" s="4">
        <v>105</v>
      </c>
      <c r="E388" s="5">
        <v>10.44</v>
      </c>
      <c r="F388" s="4">
        <v>129</v>
      </c>
      <c r="G388" s="5">
        <v>17.53</v>
      </c>
      <c r="H388" s="4">
        <v>0</v>
      </c>
    </row>
    <row r="389" spans="1:8" x14ac:dyDescent="0.2">
      <c r="A389" s="2" t="s">
        <v>53</v>
      </c>
      <c r="B389" s="4">
        <v>311</v>
      </c>
      <c r="C389" s="5">
        <v>17.75</v>
      </c>
      <c r="D389" s="4">
        <v>148</v>
      </c>
      <c r="E389" s="5">
        <v>14.71</v>
      </c>
      <c r="F389" s="4">
        <v>163</v>
      </c>
      <c r="G389" s="5">
        <v>22.15</v>
      </c>
      <c r="H389" s="4">
        <v>0</v>
      </c>
    </row>
    <row r="390" spans="1:8" x14ac:dyDescent="0.2">
      <c r="A390" s="2" t="s">
        <v>54</v>
      </c>
      <c r="B390" s="4">
        <v>9</v>
      </c>
      <c r="C390" s="5">
        <v>0.51</v>
      </c>
      <c r="D390" s="4">
        <v>0</v>
      </c>
      <c r="E390" s="5">
        <v>0</v>
      </c>
      <c r="F390" s="4">
        <v>9</v>
      </c>
      <c r="G390" s="5">
        <v>1.22</v>
      </c>
      <c r="H390" s="4">
        <v>0</v>
      </c>
    </row>
    <row r="391" spans="1:8" x14ac:dyDescent="0.2">
      <c r="A391" s="2" t="s">
        <v>55</v>
      </c>
      <c r="B391" s="4">
        <v>10</v>
      </c>
      <c r="C391" s="5">
        <v>0.56999999999999995</v>
      </c>
      <c r="D391" s="4">
        <v>1</v>
      </c>
      <c r="E391" s="5">
        <v>0.1</v>
      </c>
      <c r="F391" s="4">
        <v>9</v>
      </c>
      <c r="G391" s="5">
        <v>1.22</v>
      </c>
      <c r="H391" s="4">
        <v>0</v>
      </c>
    </row>
    <row r="392" spans="1:8" x14ac:dyDescent="0.2">
      <c r="A392" s="2" t="s">
        <v>56</v>
      </c>
      <c r="B392" s="4">
        <v>23</v>
      </c>
      <c r="C392" s="5">
        <v>1.31</v>
      </c>
      <c r="D392" s="4">
        <v>2</v>
      </c>
      <c r="E392" s="5">
        <v>0.2</v>
      </c>
      <c r="F392" s="4">
        <v>21</v>
      </c>
      <c r="G392" s="5">
        <v>2.85</v>
      </c>
      <c r="H392" s="4">
        <v>0</v>
      </c>
    </row>
    <row r="393" spans="1:8" x14ac:dyDescent="0.2">
      <c r="A393" s="2" t="s">
        <v>57</v>
      </c>
      <c r="B393" s="4">
        <v>422</v>
      </c>
      <c r="C393" s="5">
        <v>24.09</v>
      </c>
      <c r="D393" s="4">
        <v>226</v>
      </c>
      <c r="E393" s="5">
        <v>22.47</v>
      </c>
      <c r="F393" s="4">
        <v>194</v>
      </c>
      <c r="G393" s="5">
        <v>26.36</v>
      </c>
      <c r="H393" s="4">
        <v>2</v>
      </c>
    </row>
    <row r="394" spans="1:8" x14ac:dyDescent="0.2">
      <c r="A394" s="2" t="s">
        <v>58</v>
      </c>
      <c r="B394" s="4">
        <v>12</v>
      </c>
      <c r="C394" s="5">
        <v>0.68</v>
      </c>
      <c r="D394" s="4">
        <v>1</v>
      </c>
      <c r="E394" s="5">
        <v>0.1</v>
      </c>
      <c r="F394" s="4">
        <v>11</v>
      </c>
      <c r="G394" s="5">
        <v>1.49</v>
      </c>
      <c r="H394" s="4">
        <v>0</v>
      </c>
    </row>
    <row r="395" spans="1:8" x14ac:dyDescent="0.2">
      <c r="A395" s="2" t="s">
        <v>59</v>
      </c>
      <c r="B395" s="4">
        <v>74</v>
      </c>
      <c r="C395" s="5">
        <v>4.22</v>
      </c>
      <c r="D395" s="4">
        <v>15</v>
      </c>
      <c r="E395" s="5">
        <v>1.49</v>
      </c>
      <c r="F395" s="4">
        <v>59</v>
      </c>
      <c r="G395" s="5">
        <v>8.02</v>
      </c>
      <c r="H395" s="4">
        <v>0</v>
      </c>
    </row>
    <row r="396" spans="1:8" x14ac:dyDescent="0.2">
      <c r="A396" s="2" t="s">
        <v>60</v>
      </c>
      <c r="B396" s="4">
        <v>54</v>
      </c>
      <c r="C396" s="5">
        <v>3.08</v>
      </c>
      <c r="D396" s="4">
        <v>37</v>
      </c>
      <c r="E396" s="5">
        <v>3.68</v>
      </c>
      <c r="F396" s="4">
        <v>17</v>
      </c>
      <c r="G396" s="5">
        <v>2.31</v>
      </c>
      <c r="H396" s="4">
        <v>0</v>
      </c>
    </row>
    <row r="397" spans="1:8" x14ac:dyDescent="0.2">
      <c r="A397" s="2" t="s">
        <v>61</v>
      </c>
      <c r="B397" s="4">
        <v>212</v>
      </c>
      <c r="C397" s="5">
        <v>12.1</v>
      </c>
      <c r="D397" s="4">
        <v>190</v>
      </c>
      <c r="E397" s="5">
        <v>18.89</v>
      </c>
      <c r="F397" s="4">
        <v>22</v>
      </c>
      <c r="G397" s="5">
        <v>2.99</v>
      </c>
      <c r="H397" s="4">
        <v>0</v>
      </c>
    </row>
    <row r="398" spans="1:8" x14ac:dyDescent="0.2">
      <c r="A398" s="2" t="s">
        <v>62</v>
      </c>
      <c r="B398" s="4">
        <v>192</v>
      </c>
      <c r="C398" s="5">
        <v>10.96</v>
      </c>
      <c r="D398" s="4">
        <v>157</v>
      </c>
      <c r="E398" s="5">
        <v>15.61</v>
      </c>
      <c r="F398" s="4">
        <v>34</v>
      </c>
      <c r="G398" s="5">
        <v>4.62</v>
      </c>
      <c r="H398" s="4">
        <v>0</v>
      </c>
    </row>
    <row r="399" spans="1:8" x14ac:dyDescent="0.2">
      <c r="A399" s="2" t="s">
        <v>63</v>
      </c>
      <c r="B399" s="4">
        <v>64</v>
      </c>
      <c r="C399" s="5">
        <v>3.65</v>
      </c>
      <c r="D399" s="4">
        <v>43</v>
      </c>
      <c r="E399" s="5">
        <v>4.2699999999999996</v>
      </c>
      <c r="F399" s="4">
        <v>18</v>
      </c>
      <c r="G399" s="5">
        <v>2.4500000000000002</v>
      </c>
      <c r="H399" s="4">
        <v>0</v>
      </c>
    </row>
    <row r="400" spans="1:8" x14ac:dyDescent="0.2">
      <c r="A400" s="2" t="s">
        <v>64</v>
      </c>
      <c r="B400" s="4">
        <v>73</v>
      </c>
      <c r="C400" s="5">
        <v>4.17</v>
      </c>
      <c r="D400" s="4">
        <v>45</v>
      </c>
      <c r="E400" s="5">
        <v>4.47</v>
      </c>
      <c r="F400" s="4">
        <v>26</v>
      </c>
      <c r="G400" s="5">
        <v>3.53</v>
      </c>
      <c r="H400" s="4">
        <v>0</v>
      </c>
    </row>
    <row r="401" spans="1:8" x14ac:dyDescent="0.2">
      <c r="A401" s="2" t="s">
        <v>65</v>
      </c>
      <c r="B401" s="4">
        <v>62</v>
      </c>
      <c r="C401" s="5">
        <v>3.54</v>
      </c>
      <c r="D401" s="4">
        <v>36</v>
      </c>
      <c r="E401" s="5">
        <v>3.58</v>
      </c>
      <c r="F401" s="4">
        <v>24</v>
      </c>
      <c r="G401" s="5">
        <v>3.26</v>
      </c>
      <c r="H401" s="4">
        <v>0</v>
      </c>
    </row>
    <row r="402" spans="1:8" x14ac:dyDescent="0.2">
      <c r="A402" s="1" t="s">
        <v>25</v>
      </c>
      <c r="B402" s="4">
        <v>1734</v>
      </c>
      <c r="C402" s="5">
        <v>100</v>
      </c>
      <c r="D402" s="4">
        <v>983</v>
      </c>
      <c r="E402" s="5">
        <v>100.00999999999999</v>
      </c>
      <c r="F402" s="4">
        <v>742</v>
      </c>
      <c r="G402" s="5">
        <v>100.03000000000002</v>
      </c>
      <c r="H402" s="4">
        <v>0</v>
      </c>
    </row>
    <row r="403" spans="1:8" x14ac:dyDescent="0.2">
      <c r="A403" s="2" t="s">
        <v>51</v>
      </c>
      <c r="B403" s="4">
        <v>1</v>
      </c>
      <c r="C403" s="5">
        <v>0.06</v>
      </c>
      <c r="D403" s="4">
        <v>1</v>
      </c>
      <c r="E403" s="5">
        <v>0.1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52</v>
      </c>
      <c r="B404" s="4">
        <v>267</v>
      </c>
      <c r="C404" s="5">
        <v>15.4</v>
      </c>
      <c r="D404" s="4">
        <v>63</v>
      </c>
      <c r="E404" s="5">
        <v>6.41</v>
      </c>
      <c r="F404" s="4">
        <v>204</v>
      </c>
      <c r="G404" s="5">
        <v>27.49</v>
      </c>
      <c r="H404" s="4">
        <v>0</v>
      </c>
    </row>
    <row r="405" spans="1:8" x14ac:dyDescent="0.2">
      <c r="A405" s="2" t="s">
        <v>53</v>
      </c>
      <c r="B405" s="4">
        <v>123</v>
      </c>
      <c r="C405" s="5">
        <v>7.09</v>
      </c>
      <c r="D405" s="4">
        <v>40</v>
      </c>
      <c r="E405" s="5">
        <v>4.07</v>
      </c>
      <c r="F405" s="4">
        <v>83</v>
      </c>
      <c r="G405" s="5">
        <v>11.19</v>
      </c>
      <c r="H405" s="4">
        <v>0</v>
      </c>
    </row>
    <row r="406" spans="1:8" x14ac:dyDescent="0.2">
      <c r="A406" s="2" t="s">
        <v>54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2">
      <c r="A407" s="2" t="s">
        <v>55</v>
      </c>
      <c r="B407" s="4">
        <v>8</v>
      </c>
      <c r="C407" s="5">
        <v>0.46</v>
      </c>
      <c r="D407" s="4">
        <v>0</v>
      </c>
      <c r="E407" s="5">
        <v>0</v>
      </c>
      <c r="F407" s="4">
        <v>8</v>
      </c>
      <c r="G407" s="5">
        <v>1.08</v>
      </c>
      <c r="H407" s="4">
        <v>0</v>
      </c>
    </row>
    <row r="408" spans="1:8" x14ac:dyDescent="0.2">
      <c r="A408" s="2" t="s">
        <v>56</v>
      </c>
      <c r="B408" s="4">
        <v>19</v>
      </c>
      <c r="C408" s="5">
        <v>1.1000000000000001</v>
      </c>
      <c r="D408" s="4">
        <v>3</v>
      </c>
      <c r="E408" s="5">
        <v>0.31</v>
      </c>
      <c r="F408" s="4">
        <v>16</v>
      </c>
      <c r="G408" s="5">
        <v>2.16</v>
      </c>
      <c r="H408" s="4">
        <v>0</v>
      </c>
    </row>
    <row r="409" spans="1:8" x14ac:dyDescent="0.2">
      <c r="A409" s="2" t="s">
        <v>57</v>
      </c>
      <c r="B409" s="4">
        <v>344</v>
      </c>
      <c r="C409" s="5">
        <v>19.84</v>
      </c>
      <c r="D409" s="4">
        <v>194</v>
      </c>
      <c r="E409" s="5">
        <v>19.739999999999998</v>
      </c>
      <c r="F409" s="4">
        <v>150</v>
      </c>
      <c r="G409" s="5">
        <v>20.22</v>
      </c>
      <c r="H409" s="4">
        <v>0</v>
      </c>
    </row>
    <row r="410" spans="1:8" x14ac:dyDescent="0.2">
      <c r="A410" s="2" t="s">
        <v>58</v>
      </c>
      <c r="B410" s="4">
        <v>13</v>
      </c>
      <c r="C410" s="5">
        <v>0.75</v>
      </c>
      <c r="D410" s="4">
        <v>4</v>
      </c>
      <c r="E410" s="5">
        <v>0.41</v>
      </c>
      <c r="F410" s="4">
        <v>9</v>
      </c>
      <c r="G410" s="5">
        <v>1.21</v>
      </c>
      <c r="H410" s="4">
        <v>0</v>
      </c>
    </row>
    <row r="411" spans="1:8" x14ac:dyDescent="0.2">
      <c r="A411" s="2" t="s">
        <v>59</v>
      </c>
      <c r="B411" s="4">
        <v>144</v>
      </c>
      <c r="C411" s="5">
        <v>8.3000000000000007</v>
      </c>
      <c r="D411" s="4">
        <v>56</v>
      </c>
      <c r="E411" s="5">
        <v>5.7</v>
      </c>
      <c r="F411" s="4">
        <v>88</v>
      </c>
      <c r="G411" s="5">
        <v>11.86</v>
      </c>
      <c r="H411" s="4">
        <v>0</v>
      </c>
    </row>
    <row r="412" spans="1:8" x14ac:dyDescent="0.2">
      <c r="A412" s="2" t="s">
        <v>60</v>
      </c>
      <c r="B412" s="4">
        <v>88</v>
      </c>
      <c r="C412" s="5">
        <v>5.07</v>
      </c>
      <c r="D412" s="4">
        <v>49</v>
      </c>
      <c r="E412" s="5">
        <v>4.9800000000000004</v>
      </c>
      <c r="F412" s="4">
        <v>39</v>
      </c>
      <c r="G412" s="5">
        <v>5.26</v>
      </c>
      <c r="H412" s="4">
        <v>0</v>
      </c>
    </row>
    <row r="413" spans="1:8" x14ac:dyDescent="0.2">
      <c r="A413" s="2" t="s">
        <v>61</v>
      </c>
      <c r="B413" s="4">
        <v>277</v>
      </c>
      <c r="C413" s="5">
        <v>15.97</v>
      </c>
      <c r="D413" s="4">
        <v>247</v>
      </c>
      <c r="E413" s="5">
        <v>25.13</v>
      </c>
      <c r="F413" s="4">
        <v>29</v>
      </c>
      <c r="G413" s="5">
        <v>3.91</v>
      </c>
      <c r="H413" s="4">
        <v>0</v>
      </c>
    </row>
    <row r="414" spans="1:8" x14ac:dyDescent="0.2">
      <c r="A414" s="2" t="s">
        <v>62</v>
      </c>
      <c r="B414" s="4">
        <v>225</v>
      </c>
      <c r="C414" s="5">
        <v>12.98</v>
      </c>
      <c r="D414" s="4">
        <v>192</v>
      </c>
      <c r="E414" s="5">
        <v>19.53</v>
      </c>
      <c r="F414" s="4">
        <v>33</v>
      </c>
      <c r="G414" s="5">
        <v>4.45</v>
      </c>
      <c r="H414" s="4">
        <v>0</v>
      </c>
    </row>
    <row r="415" spans="1:8" x14ac:dyDescent="0.2">
      <c r="A415" s="2" t="s">
        <v>63</v>
      </c>
      <c r="B415" s="4">
        <v>102</v>
      </c>
      <c r="C415" s="5">
        <v>5.88</v>
      </c>
      <c r="D415" s="4">
        <v>75</v>
      </c>
      <c r="E415" s="5">
        <v>7.63</v>
      </c>
      <c r="F415" s="4">
        <v>20</v>
      </c>
      <c r="G415" s="5">
        <v>2.7</v>
      </c>
      <c r="H415" s="4">
        <v>0</v>
      </c>
    </row>
    <row r="416" spans="1:8" x14ac:dyDescent="0.2">
      <c r="A416" s="2" t="s">
        <v>64</v>
      </c>
      <c r="B416" s="4">
        <v>61</v>
      </c>
      <c r="C416" s="5">
        <v>3.52</v>
      </c>
      <c r="D416" s="4">
        <v>40</v>
      </c>
      <c r="E416" s="5">
        <v>4.07</v>
      </c>
      <c r="F416" s="4">
        <v>20</v>
      </c>
      <c r="G416" s="5">
        <v>2.7</v>
      </c>
      <c r="H416" s="4">
        <v>0</v>
      </c>
    </row>
    <row r="417" spans="1:8" x14ac:dyDescent="0.2">
      <c r="A417" s="2" t="s">
        <v>65</v>
      </c>
      <c r="B417" s="4">
        <v>62</v>
      </c>
      <c r="C417" s="5">
        <v>3.58</v>
      </c>
      <c r="D417" s="4">
        <v>19</v>
      </c>
      <c r="E417" s="5">
        <v>1.93</v>
      </c>
      <c r="F417" s="4">
        <v>43</v>
      </c>
      <c r="G417" s="5">
        <v>5.8</v>
      </c>
      <c r="H417" s="4">
        <v>0</v>
      </c>
    </row>
    <row r="418" spans="1:8" x14ac:dyDescent="0.2">
      <c r="A418" s="1" t="s">
        <v>26</v>
      </c>
      <c r="B418" s="4">
        <v>2169</v>
      </c>
      <c r="C418" s="5">
        <v>100.00999999999999</v>
      </c>
      <c r="D418" s="4">
        <v>1041</v>
      </c>
      <c r="E418" s="5">
        <v>100</v>
      </c>
      <c r="F418" s="4">
        <v>1115</v>
      </c>
      <c r="G418" s="5">
        <v>100.01</v>
      </c>
      <c r="H418" s="4">
        <v>7</v>
      </c>
    </row>
    <row r="419" spans="1:8" x14ac:dyDescent="0.2">
      <c r="A419" s="2" t="s">
        <v>51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52</v>
      </c>
      <c r="B420" s="4">
        <v>247</v>
      </c>
      <c r="C420" s="5">
        <v>11.39</v>
      </c>
      <c r="D420" s="4">
        <v>53</v>
      </c>
      <c r="E420" s="5">
        <v>5.09</v>
      </c>
      <c r="F420" s="4">
        <v>194</v>
      </c>
      <c r="G420" s="5">
        <v>17.399999999999999</v>
      </c>
      <c r="H420" s="4">
        <v>0</v>
      </c>
    </row>
    <row r="421" spans="1:8" x14ac:dyDescent="0.2">
      <c r="A421" s="2" t="s">
        <v>53</v>
      </c>
      <c r="B421" s="4">
        <v>155</v>
      </c>
      <c r="C421" s="5">
        <v>7.15</v>
      </c>
      <c r="D421" s="4">
        <v>44</v>
      </c>
      <c r="E421" s="5">
        <v>4.2300000000000004</v>
      </c>
      <c r="F421" s="4">
        <v>111</v>
      </c>
      <c r="G421" s="5">
        <v>9.9600000000000009</v>
      </c>
      <c r="H421" s="4">
        <v>0</v>
      </c>
    </row>
    <row r="422" spans="1:8" x14ac:dyDescent="0.2">
      <c r="A422" s="2" t="s">
        <v>54</v>
      </c>
      <c r="B422" s="4">
        <v>1</v>
      </c>
      <c r="C422" s="5">
        <v>0.05</v>
      </c>
      <c r="D422" s="4">
        <v>0</v>
      </c>
      <c r="E422" s="5">
        <v>0</v>
      </c>
      <c r="F422" s="4">
        <v>1</v>
      </c>
      <c r="G422" s="5">
        <v>0.09</v>
      </c>
      <c r="H422" s="4">
        <v>0</v>
      </c>
    </row>
    <row r="423" spans="1:8" x14ac:dyDescent="0.2">
      <c r="A423" s="2" t="s">
        <v>55</v>
      </c>
      <c r="B423" s="4">
        <v>23</v>
      </c>
      <c r="C423" s="5">
        <v>1.06</v>
      </c>
      <c r="D423" s="4">
        <v>3</v>
      </c>
      <c r="E423" s="5">
        <v>0.28999999999999998</v>
      </c>
      <c r="F423" s="4">
        <v>20</v>
      </c>
      <c r="G423" s="5">
        <v>1.79</v>
      </c>
      <c r="H423" s="4">
        <v>0</v>
      </c>
    </row>
    <row r="424" spans="1:8" x14ac:dyDescent="0.2">
      <c r="A424" s="2" t="s">
        <v>56</v>
      </c>
      <c r="B424" s="4">
        <v>11</v>
      </c>
      <c r="C424" s="5">
        <v>0.51</v>
      </c>
      <c r="D424" s="4">
        <v>2</v>
      </c>
      <c r="E424" s="5">
        <v>0.19</v>
      </c>
      <c r="F424" s="4">
        <v>9</v>
      </c>
      <c r="G424" s="5">
        <v>0.81</v>
      </c>
      <c r="H424" s="4">
        <v>0</v>
      </c>
    </row>
    <row r="425" spans="1:8" x14ac:dyDescent="0.2">
      <c r="A425" s="2" t="s">
        <v>57</v>
      </c>
      <c r="B425" s="4">
        <v>491</v>
      </c>
      <c r="C425" s="5">
        <v>22.64</v>
      </c>
      <c r="D425" s="4">
        <v>228</v>
      </c>
      <c r="E425" s="5">
        <v>21.9</v>
      </c>
      <c r="F425" s="4">
        <v>261</v>
      </c>
      <c r="G425" s="5">
        <v>23.41</v>
      </c>
      <c r="H425" s="4">
        <v>2</v>
      </c>
    </row>
    <row r="426" spans="1:8" x14ac:dyDescent="0.2">
      <c r="A426" s="2" t="s">
        <v>58</v>
      </c>
      <c r="B426" s="4">
        <v>12</v>
      </c>
      <c r="C426" s="5">
        <v>0.55000000000000004</v>
      </c>
      <c r="D426" s="4">
        <v>3</v>
      </c>
      <c r="E426" s="5">
        <v>0.28999999999999998</v>
      </c>
      <c r="F426" s="4">
        <v>9</v>
      </c>
      <c r="G426" s="5">
        <v>0.81</v>
      </c>
      <c r="H426" s="4">
        <v>0</v>
      </c>
    </row>
    <row r="427" spans="1:8" x14ac:dyDescent="0.2">
      <c r="A427" s="2" t="s">
        <v>59</v>
      </c>
      <c r="B427" s="4">
        <v>271</v>
      </c>
      <c r="C427" s="5">
        <v>12.49</v>
      </c>
      <c r="D427" s="4">
        <v>71</v>
      </c>
      <c r="E427" s="5">
        <v>6.82</v>
      </c>
      <c r="F427" s="4">
        <v>199</v>
      </c>
      <c r="G427" s="5">
        <v>17.850000000000001</v>
      </c>
      <c r="H427" s="4">
        <v>1</v>
      </c>
    </row>
    <row r="428" spans="1:8" x14ac:dyDescent="0.2">
      <c r="A428" s="2" t="s">
        <v>60</v>
      </c>
      <c r="B428" s="4">
        <v>120</v>
      </c>
      <c r="C428" s="5">
        <v>5.53</v>
      </c>
      <c r="D428" s="4">
        <v>57</v>
      </c>
      <c r="E428" s="5">
        <v>5.48</v>
      </c>
      <c r="F428" s="4">
        <v>63</v>
      </c>
      <c r="G428" s="5">
        <v>5.65</v>
      </c>
      <c r="H428" s="4">
        <v>0</v>
      </c>
    </row>
    <row r="429" spans="1:8" x14ac:dyDescent="0.2">
      <c r="A429" s="2" t="s">
        <v>61</v>
      </c>
      <c r="B429" s="4">
        <v>241</v>
      </c>
      <c r="C429" s="5">
        <v>11.11</v>
      </c>
      <c r="D429" s="4">
        <v>199</v>
      </c>
      <c r="E429" s="5">
        <v>19.12</v>
      </c>
      <c r="F429" s="4">
        <v>42</v>
      </c>
      <c r="G429" s="5">
        <v>3.77</v>
      </c>
      <c r="H429" s="4">
        <v>0</v>
      </c>
    </row>
    <row r="430" spans="1:8" x14ac:dyDescent="0.2">
      <c r="A430" s="2" t="s">
        <v>62</v>
      </c>
      <c r="B430" s="4">
        <v>291</v>
      </c>
      <c r="C430" s="5">
        <v>13.42</v>
      </c>
      <c r="D430" s="4">
        <v>210</v>
      </c>
      <c r="E430" s="5">
        <v>20.170000000000002</v>
      </c>
      <c r="F430" s="4">
        <v>81</v>
      </c>
      <c r="G430" s="5">
        <v>7.26</v>
      </c>
      <c r="H430" s="4">
        <v>0</v>
      </c>
    </row>
    <row r="431" spans="1:8" x14ac:dyDescent="0.2">
      <c r="A431" s="2" t="s">
        <v>63</v>
      </c>
      <c r="B431" s="4">
        <v>121</v>
      </c>
      <c r="C431" s="5">
        <v>5.58</v>
      </c>
      <c r="D431" s="4">
        <v>76</v>
      </c>
      <c r="E431" s="5">
        <v>7.3</v>
      </c>
      <c r="F431" s="4">
        <v>42</v>
      </c>
      <c r="G431" s="5">
        <v>3.77</v>
      </c>
      <c r="H431" s="4">
        <v>0</v>
      </c>
    </row>
    <row r="432" spans="1:8" x14ac:dyDescent="0.2">
      <c r="A432" s="2" t="s">
        <v>64</v>
      </c>
      <c r="B432" s="4">
        <v>119</v>
      </c>
      <c r="C432" s="5">
        <v>5.49</v>
      </c>
      <c r="D432" s="4">
        <v>68</v>
      </c>
      <c r="E432" s="5">
        <v>6.53</v>
      </c>
      <c r="F432" s="4">
        <v>49</v>
      </c>
      <c r="G432" s="5">
        <v>4.3899999999999997</v>
      </c>
      <c r="H432" s="4">
        <v>1</v>
      </c>
    </row>
    <row r="433" spans="1:8" x14ac:dyDescent="0.2">
      <c r="A433" s="2" t="s">
        <v>65</v>
      </c>
      <c r="B433" s="4">
        <v>66</v>
      </c>
      <c r="C433" s="5">
        <v>3.04</v>
      </c>
      <c r="D433" s="4">
        <v>27</v>
      </c>
      <c r="E433" s="5">
        <v>2.59</v>
      </c>
      <c r="F433" s="4">
        <v>34</v>
      </c>
      <c r="G433" s="5">
        <v>3.05</v>
      </c>
      <c r="H433" s="4">
        <v>3</v>
      </c>
    </row>
    <row r="434" spans="1:8" x14ac:dyDescent="0.2">
      <c r="A434" s="1" t="s">
        <v>27</v>
      </c>
      <c r="B434" s="4">
        <v>1181</v>
      </c>
      <c r="C434" s="5">
        <v>99.990000000000009</v>
      </c>
      <c r="D434" s="4">
        <v>708</v>
      </c>
      <c r="E434" s="5">
        <v>99.990000000000009</v>
      </c>
      <c r="F434" s="4">
        <v>458</v>
      </c>
      <c r="G434" s="5">
        <v>100.01000000000002</v>
      </c>
      <c r="H434" s="4">
        <v>5</v>
      </c>
    </row>
    <row r="435" spans="1:8" x14ac:dyDescent="0.2">
      <c r="A435" s="2" t="s">
        <v>51</v>
      </c>
      <c r="B435" s="4">
        <v>1</v>
      </c>
      <c r="C435" s="5">
        <v>0.08</v>
      </c>
      <c r="D435" s="4">
        <v>0</v>
      </c>
      <c r="E435" s="5">
        <v>0</v>
      </c>
      <c r="F435" s="4">
        <v>1</v>
      </c>
      <c r="G435" s="5">
        <v>0.22</v>
      </c>
      <c r="H435" s="4">
        <v>0</v>
      </c>
    </row>
    <row r="436" spans="1:8" x14ac:dyDescent="0.2">
      <c r="A436" s="2" t="s">
        <v>52</v>
      </c>
      <c r="B436" s="4">
        <v>135</v>
      </c>
      <c r="C436" s="5">
        <v>11.43</v>
      </c>
      <c r="D436" s="4">
        <v>60</v>
      </c>
      <c r="E436" s="5">
        <v>8.4700000000000006</v>
      </c>
      <c r="F436" s="4">
        <v>75</v>
      </c>
      <c r="G436" s="5">
        <v>16.38</v>
      </c>
      <c r="H436" s="4">
        <v>0</v>
      </c>
    </row>
    <row r="437" spans="1:8" x14ac:dyDescent="0.2">
      <c r="A437" s="2" t="s">
        <v>53</v>
      </c>
      <c r="B437" s="4">
        <v>271</v>
      </c>
      <c r="C437" s="5">
        <v>22.95</v>
      </c>
      <c r="D437" s="4">
        <v>163</v>
      </c>
      <c r="E437" s="5">
        <v>23.02</v>
      </c>
      <c r="F437" s="4">
        <v>108</v>
      </c>
      <c r="G437" s="5">
        <v>23.58</v>
      </c>
      <c r="H437" s="4">
        <v>0</v>
      </c>
    </row>
    <row r="438" spans="1:8" x14ac:dyDescent="0.2">
      <c r="A438" s="2" t="s">
        <v>54</v>
      </c>
      <c r="B438" s="4">
        <v>7</v>
      </c>
      <c r="C438" s="5">
        <v>0.59</v>
      </c>
      <c r="D438" s="4">
        <v>1</v>
      </c>
      <c r="E438" s="5">
        <v>0.14000000000000001</v>
      </c>
      <c r="F438" s="4">
        <v>5</v>
      </c>
      <c r="G438" s="5">
        <v>1.0900000000000001</v>
      </c>
      <c r="H438" s="4">
        <v>0</v>
      </c>
    </row>
    <row r="439" spans="1:8" x14ac:dyDescent="0.2">
      <c r="A439" s="2" t="s">
        <v>55</v>
      </c>
      <c r="B439" s="4">
        <v>6</v>
      </c>
      <c r="C439" s="5">
        <v>0.51</v>
      </c>
      <c r="D439" s="4">
        <v>0</v>
      </c>
      <c r="E439" s="5">
        <v>0</v>
      </c>
      <c r="F439" s="4">
        <v>6</v>
      </c>
      <c r="G439" s="5">
        <v>1.31</v>
      </c>
      <c r="H439" s="4">
        <v>0</v>
      </c>
    </row>
    <row r="440" spans="1:8" x14ac:dyDescent="0.2">
      <c r="A440" s="2" t="s">
        <v>56</v>
      </c>
      <c r="B440" s="4">
        <v>13</v>
      </c>
      <c r="C440" s="5">
        <v>1.1000000000000001</v>
      </c>
      <c r="D440" s="4">
        <v>2</v>
      </c>
      <c r="E440" s="5">
        <v>0.28000000000000003</v>
      </c>
      <c r="F440" s="4">
        <v>10</v>
      </c>
      <c r="G440" s="5">
        <v>2.1800000000000002</v>
      </c>
      <c r="H440" s="4">
        <v>1</v>
      </c>
    </row>
    <row r="441" spans="1:8" x14ac:dyDescent="0.2">
      <c r="A441" s="2" t="s">
        <v>57</v>
      </c>
      <c r="B441" s="4">
        <v>281</v>
      </c>
      <c r="C441" s="5">
        <v>23.79</v>
      </c>
      <c r="D441" s="4">
        <v>159</v>
      </c>
      <c r="E441" s="5">
        <v>22.46</v>
      </c>
      <c r="F441" s="4">
        <v>120</v>
      </c>
      <c r="G441" s="5">
        <v>26.2</v>
      </c>
      <c r="H441" s="4">
        <v>2</v>
      </c>
    </row>
    <row r="442" spans="1:8" x14ac:dyDescent="0.2">
      <c r="A442" s="2" t="s">
        <v>58</v>
      </c>
      <c r="B442" s="4">
        <v>9</v>
      </c>
      <c r="C442" s="5">
        <v>0.76</v>
      </c>
      <c r="D442" s="4">
        <v>3</v>
      </c>
      <c r="E442" s="5">
        <v>0.42</v>
      </c>
      <c r="F442" s="4">
        <v>6</v>
      </c>
      <c r="G442" s="5">
        <v>1.31</v>
      </c>
      <c r="H442" s="4">
        <v>0</v>
      </c>
    </row>
    <row r="443" spans="1:8" x14ac:dyDescent="0.2">
      <c r="A443" s="2" t="s">
        <v>59</v>
      </c>
      <c r="B443" s="4">
        <v>77</v>
      </c>
      <c r="C443" s="5">
        <v>6.52</v>
      </c>
      <c r="D443" s="4">
        <v>33</v>
      </c>
      <c r="E443" s="5">
        <v>4.66</v>
      </c>
      <c r="F443" s="4">
        <v>44</v>
      </c>
      <c r="G443" s="5">
        <v>9.61</v>
      </c>
      <c r="H443" s="4">
        <v>0</v>
      </c>
    </row>
    <row r="444" spans="1:8" x14ac:dyDescent="0.2">
      <c r="A444" s="2" t="s">
        <v>60</v>
      </c>
      <c r="B444" s="4">
        <v>51</v>
      </c>
      <c r="C444" s="5">
        <v>4.32</v>
      </c>
      <c r="D444" s="4">
        <v>37</v>
      </c>
      <c r="E444" s="5">
        <v>5.23</v>
      </c>
      <c r="F444" s="4">
        <v>13</v>
      </c>
      <c r="G444" s="5">
        <v>2.84</v>
      </c>
      <c r="H444" s="4">
        <v>0</v>
      </c>
    </row>
    <row r="445" spans="1:8" x14ac:dyDescent="0.2">
      <c r="A445" s="2" t="s">
        <v>61</v>
      </c>
      <c r="B445" s="4">
        <v>117</v>
      </c>
      <c r="C445" s="5">
        <v>9.91</v>
      </c>
      <c r="D445" s="4">
        <v>104</v>
      </c>
      <c r="E445" s="5">
        <v>14.69</v>
      </c>
      <c r="F445" s="4">
        <v>12</v>
      </c>
      <c r="G445" s="5">
        <v>2.62</v>
      </c>
      <c r="H445" s="4">
        <v>1</v>
      </c>
    </row>
    <row r="446" spans="1:8" x14ac:dyDescent="0.2">
      <c r="A446" s="2" t="s">
        <v>62</v>
      </c>
      <c r="B446" s="4">
        <v>103</v>
      </c>
      <c r="C446" s="5">
        <v>8.7200000000000006</v>
      </c>
      <c r="D446" s="4">
        <v>82</v>
      </c>
      <c r="E446" s="5">
        <v>11.58</v>
      </c>
      <c r="F446" s="4">
        <v>20</v>
      </c>
      <c r="G446" s="5">
        <v>4.37</v>
      </c>
      <c r="H446" s="4">
        <v>1</v>
      </c>
    </row>
    <row r="447" spans="1:8" x14ac:dyDescent="0.2">
      <c r="A447" s="2" t="s">
        <v>63</v>
      </c>
      <c r="B447" s="4">
        <v>34</v>
      </c>
      <c r="C447" s="5">
        <v>2.88</v>
      </c>
      <c r="D447" s="4">
        <v>25</v>
      </c>
      <c r="E447" s="5">
        <v>3.53</v>
      </c>
      <c r="F447" s="4">
        <v>7</v>
      </c>
      <c r="G447" s="5">
        <v>1.53</v>
      </c>
      <c r="H447" s="4">
        <v>0</v>
      </c>
    </row>
    <row r="448" spans="1:8" x14ac:dyDescent="0.2">
      <c r="A448" s="2" t="s">
        <v>64</v>
      </c>
      <c r="B448" s="4">
        <v>31</v>
      </c>
      <c r="C448" s="5">
        <v>2.62</v>
      </c>
      <c r="D448" s="4">
        <v>21</v>
      </c>
      <c r="E448" s="5">
        <v>2.97</v>
      </c>
      <c r="F448" s="4">
        <v>10</v>
      </c>
      <c r="G448" s="5">
        <v>2.1800000000000002</v>
      </c>
      <c r="H448" s="4">
        <v>0</v>
      </c>
    </row>
    <row r="449" spans="1:8" x14ac:dyDescent="0.2">
      <c r="A449" s="2" t="s">
        <v>65</v>
      </c>
      <c r="B449" s="4">
        <v>45</v>
      </c>
      <c r="C449" s="5">
        <v>3.81</v>
      </c>
      <c r="D449" s="4">
        <v>18</v>
      </c>
      <c r="E449" s="5">
        <v>2.54</v>
      </c>
      <c r="F449" s="4">
        <v>21</v>
      </c>
      <c r="G449" s="5">
        <v>4.59</v>
      </c>
      <c r="H449" s="4">
        <v>0</v>
      </c>
    </row>
    <row r="450" spans="1:8" x14ac:dyDescent="0.2">
      <c r="A450" s="1" t="s">
        <v>28</v>
      </c>
      <c r="B450" s="4">
        <v>1308</v>
      </c>
      <c r="C450" s="5">
        <v>99.990000000000009</v>
      </c>
      <c r="D450" s="4">
        <v>544</v>
      </c>
      <c r="E450" s="5">
        <v>99.999999999999986</v>
      </c>
      <c r="F450" s="4">
        <v>763</v>
      </c>
      <c r="G450" s="5">
        <v>100.00999999999999</v>
      </c>
      <c r="H450" s="4">
        <v>0</v>
      </c>
    </row>
    <row r="451" spans="1:8" x14ac:dyDescent="0.2">
      <c r="A451" s="2" t="s">
        <v>51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52</v>
      </c>
      <c r="B452" s="4">
        <v>169</v>
      </c>
      <c r="C452" s="5">
        <v>12.92</v>
      </c>
      <c r="D452" s="4">
        <v>27</v>
      </c>
      <c r="E452" s="5">
        <v>4.96</v>
      </c>
      <c r="F452" s="4">
        <v>142</v>
      </c>
      <c r="G452" s="5">
        <v>18.61</v>
      </c>
      <c r="H452" s="4">
        <v>0</v>
      </c>
    </row>
    <row r="453" spans="1:8" x14ac:dyDescent="0.2">
      <c r="A453" s="2" t="s">
        <v>53</v>
      </c>
      <c r="B453" s="4">
        <v>81</v>
      </c>
      <c r="C453" s="5">
        <v>6.19</v>
      </c>
      <c r="D453" s="4">
        <v>24</v>
      </c>
      <c r="E453" s="5">
        <v>4.41</v>
      </c>
      <c r="F453" s="4">
        <v>57</v>
      </c>
      <c r="G453" s="5">
        <v>7.47</v>
      </c>
      <c r="H453" s="4">
        <v>0</v>
      </c>
    </row>
    <row r="454" spans="1:8" x14ac:dyDescent="0.2">
      <c r="A454" s="2" t="s">
        <v>54</v>
      </c>
      <c r="B454" s="4">
        <v>2</v>
      </c>
      <c r="C454" s="5">
        <v>0.15</v>
      </c>
      <c r="D454" s="4">
        <v>0</v>
      </c>
      <c r="E454" s="5">
        <v>0</v>
      </c>
      <c r="F454" s="4">
        <v>2</v>
      </c>
      <c r="G454" s="5">
        <v>0.26</v>
      </c>
      <c r="H454" s="4">
        <v>0</v>
      </c>
    </row>
    <row r="455" spans="1:8" x14ac:dyDescent="0.2">
      <c r="A455" s="2" t="s">
        <v>55</v>
      </c>
      <c r="B455" s="4">
        <v>15</v>
      </c>
      <c r="C455" s="5">
        <v>1.1499999999999999</v>
      </c>
      <c r="D455" s="4">
        <v>0</v>
      </c>
      <c r="E455" s="5">
        <v>0</v>
      </c>
      <c r="F455" s="4">
        <v>15</v>
      </c>
      <c r="G455" s="5">
        <v>1.97</v>
      </c>
      <c r="H455" s="4">
        <v>0</v>
      </c>
    </row>
    <row r="456" spans="1:8" x14ac:dyDescent="0.2">
      <c r="A456" s="2" t="s">
        <v>56</v>
      </c>
      <c r="B456" s="4">
        <v>14</v>
      </c>
      <c r="C456" s="5">
        <v>1.07</v>
      </c>
      <c r="D456" s="4">
        <v>0</v>
      </c>
      <c r="E456" s="5">
        <v>0</v>
      </c>
      <c r="F456" s="4">
        <v>14</v>
      </c>
      <c r="G456" s="5">
        <v>1.83</v>
      </c>
      <c r="H456" s="4">
        <v>0</v>
      </c>
    </row>
    <row r="457" spans="1:8" x14ac:dyDescent="0.2">
      <c r="A457" s="2" t="s">
        <v>57</v>
      </c>
      <c r="B457" s="4">
        <v>323</v>
      </c>
      <c r="C457" s="5">
        <v>24.69</v>
      </c>
      <c r="D457" s="4">
        <v>148</v>
      </c>
      <c r="E457" s="5">
        <v>27.21</v>
      </c>
      <c r="F457" s="4">
        <v>175</v>
      </c>
      <c r="G457" s="5">
        <v>22.94</v>
      </c>
      <c r="H457" s="4">
        <v>0</v>
      </c>
    </row>
    <row r="458" spans="1:8" x14ac:dyDescent="0.2">
      <c r="A458" s="2" t="s">
        <v>58</v>
      </c>
      <c r="B458" s="4">
        <v>8</v>
      </c>
      <c r="C458" s="5">
        <v>0.61</v>
      </c>
      <c r="D458" s="4">
        <v>2</v>
      </c>
      <c r="E458" s="5">
        <v>0.37</v>
      </c>
      <c r="F458" s="4">
        <v>6</v>
      </c>
      <c r="G458" s="5">
        <v>0.79</v>
      </c>
      <c r="H458" s="4">
        <v>0</v>
      </c>
    </row>
    <row r="459" spans="1:8" x14ac:dyDescent="0.2">
      <c r="A459" s="2" t="s">
        <v>59</v>
      </c>
      <c r="B459" s="4">
        <v>135</v>
      </c>
      <c r="C459" s="5">
        <v>10.32</v>
      </c>
      <c r="D459" s="4">
        <v>15</v>
      </c>
      <c r="E459" s="5">
        <v>2.76</v>
      </c>
      <c r="F459" s="4">
        <v>120</v>
      </c>
      <c r="G459" s="5">
        <v>15.73</v>
      </c>
      <c r="H459" s="4">
        <v>0</v>
      </c>
    </row>
    <row r="460" spans="1:8" x14ac:dyDescent="0.2">
      <c r="A460" s="2" t="s">
        <v>60</v>
      </c>
      <c r="B460" s="4">
        <v>91</v>
      </c>
      <c r="C460" s="5">
        <v>6.96</v>
      </c>
      <c r="D460" s="4">
        <v>45</v>
      </c>
      <c r="E460" s="5">
        <v>8.27</v>
      </c>
      <c r="F460" s="4">
        <v>46</v>
      </c>
      <c r="G460" s="5">
        <v>6.03</v>
      </c>
      <c r="H460" s="4">
        <v>0</v>
      </c>
    </row>
    <row r="461" spans="1:8" x14ac:dyDescent="0.2">
      <c r="A461" s="2" t="s">
        <v>61</v>
      </c>
      <c r="B461" s="4">
        <v>132</v>
      </c>
      <c r="C461" s="5">
        <v>10.09</v>
      </c>
      <c r="D461" s="4">
        <v>89</v>
      </c>
      <c r="E461" s="5">
        <v>16.36</v>
      </c>
      <c r="F461" s="4">
        <v>43</v>
      </c>
      <c r="G461" s="5">
        <v>5.64</v>
      </c>
      <c r="H461" s="4">
        <v>0</v>
      </c>
    </row>
    <row r="462" spans="1:8" x14ac:dyDescent="0.2">
      <c r="A462" s="2" t="s">
        <v>62</v>
      </c>
      <c r="B462" s="4">
        <v>160</v>
      </c>
      <c r="C462" s="5">
        <v>12.23</v>
      </c>
      <c r="D462" s="4">
        <v>110</v>
      </c>
      <c r="E462" s="5">
        <v>20.22</v>
      </c>
      <c r="F462" s="4">
        <v>50</v>
      </c>
      <c r="G462" s="5">
        <v>6.55</v>
      </c>
      <c r="H462" s="4">
        <v>0</v>
      </c>
    </row>
    <row r="463" spans="1:8" x14ac:dyDescent="0.2">
      <c r="A463" s="2" t="s">
        <v>63</v>
      </c>
      <c r="B463" s="4">
        <v>58</v>
      </c>
      <c r="C463" s="5">
        <v>4.43</v>
      </c>
      <c r="D463" s="4">
        <v>34</v>
      </c>
      <c r="E463" s="5">
        <v>6.25</v>
      </c>
      <c r="F463" s="4">
        <v>23</v>
      </c>
      <c r="G463" s="5">
        <v>3.01</v>
      </c>
      <c r="H463" s="4">
        <v>0</v>
      </c>
    </row>
    <row r="464" spans="1:8" x14ac:dyDescent="0.2">
      <c r="A464" s="2" t="s">
        <v>64</v>
      </c>
      <c r="B464" s="4">
        <v>68</v>
      </c>
      <c r="C464" s="5">
        <v>5.2</v>
      </c>
      <c r="D464" s="4">
        <v>34</v>
      </c>
      <c r="E464" s="5">
        <v>6.25</v>
      </c>
      <c r="F464" s="4">
        <v>34</v>
      </c>
      <c r="G464" s="5">
        <v>4.46</v>
      </c>
      <c r="H464" s="4">
        <v>0</v>
      </c>
    </row>
    <row r="465" spans="1:8" x14ac:dyDescent="0.2">
      <c r="A465" s="2" t="s">
        <v>65</v>
      </c>
      <c r="B465" s="4">
        <v>52</v>
      </c>
      <c r="C465" s="5">
        <v>3.98</v>
      </c>
      <c r="D465" s="4">
        <v>16</v>
      </c>
      <c r="E465" s="5">
        <v>2.94</v>
      </c>
      <c r="F465" s="4">
        <v>36</v>
      </c>
      <c r="G465" s="5">
        <v>4.72</v>
      </c>
      <c r="H465" s="4">
        <v>0</v>
      </c>
    </row>
    <row r="466" spans="1:8" x14ac:dyDescent="0.2">
      <c r="A466" s="1" t="s">
        <v>29</v>
      </c>
      <c r="B466" s="4">
        <v>1029</v>
      </c>
      <c r="C466" s="5">
        <v>99.999999999999972</v>
      </c>
      <c r="D466" s="4">
        <v>519</v>
      </c>
      <c r="E466" s="5">
        <v>100</v>
      </c>
      <c r="F466" s="4">
        <v>504</v>
      </c>
      <c r="G466" s="5">
        <v>99.999999999999972</v>
      </c>
      <c r="H466" s="4">
        <v>0</v>
      </c>
    </row>
    <row r="467" spans="1:8" x14ac:dyDescent="0.2">
      <c r="A467" s="2" t="s">
        <v>51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52</v>
      </c>
      <c r="B468" s="4">
        <v>155</v>
      </c>
      <c r="C468" s="5">
        <v>15.06</v>
      </c>
      <c r="D468" s="4">
        <v>73</v>
      </c>
      <c r="E468" s="5">
        <v>14.07</v>
      </c>
      <c r="F468" s="4">
        <v>82</v>
      </c>
      <c r="G468" s="5">
        <v>16.27</v>
      </c>
      <c r="H468" s="4">
        <v>0</v>
      </c>
    </row>
    <row r="469" spans="1:8" x14ac:dyDescent="0.2">
      <c r="A469" s="2" t="s">
        <v>53</v>
      </c>
      <c r="B469" s="4">
        <v>303</v>
      </c>
      <c r="C469" s="5">
        <v>29.45</v>
      </c>
      <c r="D469" s="4">
        <v>148</v>
      </c>
      <c r="E469" s="5">
        <v>28.52</v>
      </c>
      <c r="F469" s="4">
        <v>155</v>
      </c>
      <c r="G469" s="5">
        <v>30.75</v>
      </c>
      <c r="H469" s="4">
        <v>0</v>
      </c>
    </row>
    <row r="470" spans="1:8" x14ac:dyDescent="0.2">
      <c r="A470" s="2" t="s">
        <v>54</v>
      </c>
      <c r="B470" s="4">
        <v>2</v>
      </c>
      <c r="C470" s="5">
        <v>0.19</v>
      </c>
      <c r="D470" s="4">
        <v>0</v>
      </c>
      <c r="E470" s="5">
        <v>0</v>
      </c>
      <c r="F470" s="4">
        <v>2</v>
      </c>
      <c r="G470" s="5">
        <v>0.4</v>
      </c>
      <c r="H470" s="4">
        <v>0</v>
      </c>
    </row>
    <row r="471" spans="1:8" x14ac:dyDescent="0.2">
      <c r="A471" s="2" t="s">
        <v>55</v>
      </c>
      <c r="B471" s="4">
        <v>9</v>
      </c>
      <c r="C471" s="5">
        <v>0.87</v>
      </c>
      <c r="D471" s="4">
        <v>0</v>
      </c>
      <c r="E471" s="5">
        <v>0</v>
      </c>
      <c r="F471" s="4">
        <v>9</v>
      </c>
      <c r="G471" s="5">
        <v>1.79</v>
      </c>
      <c r="H471" s="4">
        <v>0</v>
      </c>
    </row>
    <row r="472" spans="1:8" x14ac:dyDescent="0.2">
      <c r="A472" s="2" t="s">
        <v>56</v>
      </c>
      <c r="B472" s="4">
        <v>12</v>
      </c>
      <c r="C472" s="5">
        <v>1.17</v>
      </c>
      <c r="D472" s="4">
        <v>1</v>
      </c>
      <c r="E472" s="5">
        <v>0.19</v>
      </c>
      <c r="F472" s="4">
        <v>11</v>
      </c>
      <c r="G472" s="5">
        <v>2.1800000000000002</v>
      </c>
      <c r="H472" s="4">
        <v>0</v>
      </c>
    </row>
    <row r="473" spans="1:8" x14ac:dyDescent="0.2">
      <c r="A473" s="2" t="s">
        <v>57</v>
      </c>
      <c r="B473" s="4">
        <v>235</v>
      </c>
      <c r="C473" s="5">
        <v>22.84</v>
      </c>
      <c r="D473" s="4">
        <v>104</v>
      </c>
      <c r="E473" s="5">
        <v>20.04</v>
      </c>
      <c r="F473" s="4">
        <v>131</v>
      </c>
      <c r="G473" s="5">
        <v>25.99</v>
      </c>
      <c r="H473" s="4">
        <v>0</v>
      </c>
    </row>
    <row r="474" spans="1:8" x14ac:dyDescent="0.2">
      <c r="A474" s="2" t="s">
        <v>58</v>
      </c>
      <c r="B474" s="4">
        <v>11</v>
      </c>
      <c r="C474" s="5">
        <v>1.07</v>
      </c>
      <c r="D474" s="4">
        <v>5</v>
      </c>
      <c r="E474" s="5">
        <v>0.96</v>
      </c>
      <c r="F474" s="4">
        <v>6</v>
      </c>
      <c r="G474" s="5">
        <v>1.19</v>
      </c>
      <c r="H474" s="4">
        <v>0</v>
      </c>
    </row>
    <row r="475" spans="1:8" x14ac:dyDescent="0.2">
      <c r="A475" s="2" t="s">
        <v>59</v>
      </c>
      <c r="B475" s="4">
        <v>34</v>
      </c>
      <c r="C475" s="5">
        <v>3.3</v>
      </c>
      <c r="D475" s="4">
        <v>2</v>
      </c>
      <c r="E475" s="5">
        <v>0.39</v>
      </c>
      <c r="F475" s="4">
        <v>32</v>
      </c>
      <c r="G475" s="5">
        <v>6.35</v>
      </c>
      <c r="H475" s="4">
        <v>0</v>
      </c>
    </row>
    <row r="476" spans="1:8" x14ac:dyDescent="0.2">
      <c r="A476" s="2" t="s">
        <v>60</v>
      </c>
      <c r="B476" s="4">
        <v>33</v>
      </c>
      <c r="C476" s="5">
        <v>3.21</v>
      </c>
      <c r="D476" s="4">
        <v>20</v>
      </c>
      <c r="E476" s="5">
        <v>3.85</v>
      </c>
      <c r="F476" s="4">
        <v>13</v>
      </c>
      <c r="G476" s="5">
        <v>2.58</v>
      </c>
      <c r="H476" s="4">
        <v>0</v>
      </c>
    </row>
    <row r="477" spans="1:8" x14ac:dyDescent="0.2">
      <c r="A477" s="2" t="s">
        <v>61</v>
      </c>
      <c r="B477" s="4">
        <v>56</v>
      </c>
      <c r="C477" s="5">
        <v>5.44</v>
      </c>
      <c r="D477" s="4">
        <v>44</v>
      </c>
      <c r="E477" s="5">
        <v>8.48</v>
      </c>
      <c r="F477" s="4">
        <v>12</v>
      </c>
      <c r="G477" s="5">
        <v>2.38</v>
      </c>
      <c r="H477" s="4">
        <v>0</v>
      </c>
    </row>
    <row r="478" spans="1:8" x14ac:dyDescent="0.2">
      <c r="A478" s="2" t="s">
        <v>62</v>
      </c>
      <c r="B478" s="4">
        <v>99</v>
      </c>
      <c r="C478" s="5">
        <v>9.6199999999999992</v>
      </c>
      <c r="D478" s="4">
        <v>74</v>
      </c>
      <c r="E478" s="5">
        <v>14.26</v>
      </c>
      <c r="F478" s="4">
        <v>25</v>
      </c>
      <c r="G478" s="5">
        <v>4.96</v>
      </c>
      <c r="H478" s="4">
        <v>0</v>
      </c>
    </row>
    <row r="479" spans="1:8" x14ac:dyDescent="0.2">
      <c r="A479" s="2" t="s">
        <v>63</v>
      </c>
      <c r="B479" s="4">
        <v>28</v>
      </c>
      <c r="C479" s="5">
        <v>2.72</v>
      </c>
      <c r="D479" s="4">
        <v>16</v>
      </c>
      <c r="E479" s="5">
        <v>3.08</v>
      </c>
      <c r="F479" s="4">
        <v>7</v>
      </c>
      <c r="G479" s="5">
        <v>1.39</v>
      </c>
      <c r="H479" s="4">
        <v>0</v>
      </c>
    </row>
    <row r="480" spans="1:8" x14ac:dyDescent="0.2">
      <c r="A480" s="2" t="s">
        <v>64</v>
      </c>
      <c r="B480" s="4">
        <v>23</v>
      </c>
      <c r="C480" s="5">
        <v>2.2400000000000002</v>
      </c>
      <c r="D480" s="4">
        <v>16</v>
      </c>
      <c r="E480" s="5">
        <v>3.08</v>
      </c>
      <c r="F480" s="4">
        <v>7</v>
      </c>
      <c r="G480" s="5">
        <v>1.39</v>
      </c>
      <c r="H480" s="4">
        <v>0</v>
      </c>
    </row>
    <row r="481" spans="1:8" x14ac:dyDescent="0.2">
      <c r="A481" s="2" t="s">
        <v>65</v>
      </c>
      <c r="B481" s="4">
        <v>29</v>
      </c>
      <c r="C481" s="5">
        <v>2.82</v>
      </c>
      <c r="D481" s="4">
        <v>16</v>
      </c>
      <c r="E481" s="5">
        <v>3.08</v>
      </c>
      <c r="F481" s="4">
        <v>12</v>
      </c>
      <c r="G481" s="5">
        <v>2.38</v>
      </c>
      <c r="H481" s="4">
        <v>0</v>
      </c>
    </row>
    <row r="482" spans="1:8" x14ac:dyDescent="0.2">
      <c r="A482" s="1" t="s">
        <v>30</v>
      </c>
      <c r="B482" s="4">
        <v>1122</v>
      </c>
      <c r="C482" s="5">
        <v>99.990000000000009</v>
      </c>
      <c r="D482" s="4">
        <v>697</v>
      </c>
      <c r="E482" s="5">
        <v>99.990000000000023</v>
      </c>
      <c r="F482" s="4">
        <v>408</v>
      </c>
      <c r="G482" s="5">
        <v>100.01</v>
      </c>
      <c r="H482" s="4">
        <v>3</v>
      </c>
    </row>
    <row r="483" spans="1:8" x14ac:dyDescent="0.2">
      <c r="A483" s="2" t="s">
        <v>51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52</v>
      </c>
      <c r="B484" s="4">
        <v>189</v>
      </c>
      <c r="C484" s="5">
        <v>16.84</v>
      </c>
      <c r="D484" s="4">
        <v>109</v>
      </c>
      <c r="E484" s="5">
        <v>15.64</v>
      </c>
      <c r="F484" s="4">
        <v>80</v>
      </c>
      <c r="G484" s="5">
        <v>19.61</v>
      </c>
      <c r="H484" s="4">
        <v>0</v>
      </c>
    </row>
    <row r="485" spans="1:8" x14ac:dyDescent="0.2">
      <c r="A485" s="2" t="s">
        <v>53</v>
      </c>
      <c r="B485" s="4">
        <v>144</v>
      </c>
      <c r="C485" s="5">
        <v>12.83</v>
      </c>
      <c r="D485" s="4">
        <v>81</v>
      </c>
      <c r="E485" s="5">
        <v>11.62</v>
      </c>
      <c r="F485" s="4">
        <v>63</v>
      </c>
      <c r="G485" s="5">
        <v>15.44</v>
      </c>
      <c r="H485" s="4">
        <v>0</v>
      </c>
    </row>
    <row r="486" spans="1:8" x14ac:dyDescent="0.2">
      <c r="A486" s="2" t="s">
        <v>54</v>
      </c>
      <c r="B486" s="4">
        <v>2</v>
      </c>
      <c r="C486" s="5">
        <v>0.18</v>
      </c>
      <c r="D486" s="4">
        <v>0</v>
      </c>
      <c r="E486" s="5">
        <v>0</v>
      </c>
      <c r="F486" s="4">
        <v>2</v>
      </c>
      <c r="G486" s="5">
        <v>0.49</v>
      </c>
      <c r="H486" s="4">
        <v>0</v>
      </c>
    </row>
    <row r="487" spans="1:8" x14ac:dyDescent="0.2">
      <c r="A487" s="2" t="s">
        <v>55</v>
      </c>
      <c r="B487" s="4">
        <v>9</v>
      </c>
      <c r="C487" s="5">
        <v>0.8</v>
      </c>
      <c r="D487" s="4">
        <v>1</v>
      </c>
      <c r="E487" s="5">
        <v>0.14000000000000001</v>
      </c>
      <c r="F487" s="4">
        <v>8</v>
      </c>
      <c r="G487" s="5">
        <v>1.96</v>
      </c>
      <c r="H487" s="4">
        <v>0</v>
      </c>
    </row>
    <row r="488" spans="1:8" x14ac:dyDescent="0.2">
      <c r="A488" s="2" t="s">
        <v>56</v>
      </c>
      <c r="B488" s="4">
        <v>10</v>
      </c>
      <c r="C488" s="5">
        <v>0.89</v>
      </c>
      <c r="D488" s="4">
        <v>3</v>
      </c>
      <c r="E488" s="5">
        <v>0.43</v>
      </c>
      <c r="F488" s="4">
        <v>7</v>
      </c>
      <c r="G488" s="5">
        <v>1.72</v>
      </c>
      <c r="H488" s="4">
        <v>0</v>
      </c>
    </row>
    <row r="489" spans="1:8" x14ac:dyDescent="0.2">
      <c r="A489" s="2" t="s">
        <v>57</v>
      </c>
      <c r="B489" s="4">
        <v>316</v>
      </c>
      <c r="C489" s="5">
        <v>28.16</v>
      </c>
      <c r="D489" s="4">
        <v>197</v>
      </c>
      <c r="E489" s="5">
        <v>28.26</v>
      </c>
      <c r="F489" s="4">
        <v>119</v>
      </c>
      <c r="G489" s="5">
        <v>29.17</v>
      </c>
      <c r="H489" s="4">
        <v>0</v>
      </c>
    </row>
    <row r="490" spans="1:8" x14ac:dyDescent="0.2">
      <c r="A490" s="2" t="s">
        <v>58</v>
      </c>
      <c r="B490" s="4">
        <v>2</v>
      </c>
      <c r="C490" s="5">
        <v>0.18</v>
      </c>
      <c r="D490" s="4">
        <v>1</v>
      </c>
      <c r="E490" s="5">
        <v>0.14000000000000001</v>
      </c>
      <c r="F490" s="4">
        <v>1</v>
      </c>
      <c r="G490" s="5">
        <v>0.25</v>
      </c>
      <c r="H490" s="4">
        <v>0</v>
      </c>
    </row>
    <row r="491" spans="1:8" x14ac:dyDescent="0.2">
      <c r="A491" s="2" t="s">
        <v>59</v>
      </c>
      <c r="B491" s="4">
        <v>76</v>
      </c>
      <c r="C491" s="5">
        <v>6.77</v>
      </c>
      <c r="D491" s="4">
        <v>40</v>
      </c>
      <c r="E491" s="5">
        <v>5.74</v>
      </c>
      <c r="F491" s="4">
        <v>35</v>
      </c>
      <c r="G491" s="5">
        <v>8.58</v>
      </c>
      <c r="H491" s="4">
        <v>1</v>
      </c>
    </row>
    <row r="492" spans="1:8" x14ac:dyDescent="0.2">
      <c r="A492" s="2" t="s">
        <v>60</v>
      </c>
      <c r="B492" s="4">
        <v>47</v>
      </c>
      <c r="C492" s="5">
        <v>4.1900000000000004</v>
      </c>
      <c r="D492" s="4">
        <v>29</v>
      </c>
      <c r="E492" s="5">
        <v>4.16</v>
      </c>
      <c r="F492" s="4">
        <v>18</v>
      </c>
      <c r="G492" s="5">
        <v>4.41</v>
      </c>
      <c r="H492" s="4">
        <v>0</v>
      </c>
    </row>
    <row r="493" spans="1:8" x14ac:dyDescent="0.2">
      <c r="A493" s="2" t="s">
        <v>61</v>
      </c>
      <c r="B493" s="4">
        <v>131</v>
      </c>
      <c r="C493" s="5">
        <v>11.68</v>
      </c>
      <c r="D493" s="4">
        <v>114</v>
      </c>
      <c r="E493" s="5">
        <v>16.36</v>
      </c>
      <c r="F493" s="4">
        <v>17</v>
      </c>
      <c r="G493" s="5">
        <v>4.17</v>
      </c>
      <c r="H493" s="4">
        <v>0</v>
      </c>
    </row>
    <row r="494" spans="1:8" x14ac:dyDescent="0.2">
      <c r="A494" s="2" t="s">
        <v>62</v>
      </c>
      <c r="B494" s="4">
        <v>96</v>
      </c>
      <c r="C494" s="5">
        <v>8.56</v>
      </c>
      <c r="D494" s="4">
        <v>75</v>
      </c>
      <c r="E494" s="5">
        <v>10.76</v>
      </c>
      <c r="F494" s="4">
        <v>20</v>
      </c>
      <c r="G494" s="5">
        <v>4.9000000000000004</v>
      </c>
      <c r="H494" s="4">
        <v>0</v>
      </c>
    </row>
    <row r="495" spans="1:8" x14ac:dyDescent="0.2">
      <c r="A495" s="2" t="s">
        <v>63</v>
      </c>
      <c r="B495" s="4">
        <v>31</v>
      </c>
      <c r="C495" s="5">
        <v>2.76</v>
      </c>
      <c r="D495" s="4">
        <v>18</v>
      </c>
      <c r="E495" s="5">
        <v>2.58</v>
      </c>
      <c r="F495" s="4">
        <v>10</v>
      </c>
      <c r="G495" s="5">
        <v>2.4500000000000002</v>
      </c>
      <c r="H495" s="4">
        <v>1</v>
      </c>
    </row>
    <row r="496" spans="1:8" x14ac:dyDescent="0.2">
      <c r="A496" s="2" t="s">
        <v>64</v>
      </c>
      <c r="B496" s="4">
        <v>50</v>
      </c>
      <c r="C496" s="5">
        <v>4.46</v>
      </c>
      <c r="D496" s="4">
        <v>21</v>
      </c>
      <c r="E496" s="5">
        <v>3.01</v>
      </c>
      <c r="F496" s="4">
        <v>18</v>
      </c>
      <c r="G496" s="5">
        <v>4.41</v>
      </c>
      <c r="H496" s="4">
        <v>0</v>
      </c>
    </row>
    <row r="497" spans="1:8" x14ac:dyDescent="0.2">
      <c r="A497" s="2" t="s">
        <v>65</v>
      </c>
      <c r="B497" s="4">
        <v>19</v>
      </c>
      <c r="C497" s="5">
        <v>1.69</v>
      </c>
      <c r="D497" s="4">
        <v>8</v>
      </c>
      <c r="E497" s="5">
        <v>1.1499999999999999</v>
      </c>
      <c r="F497" s="4">
        <v>10</v>
      </c>
      <c r="G497" s="5">
        <v>2.4500000000000002</v>
      </c>
      <c r="H497" s="4">
        <v>1</v>
      </c>
    </row>
    <row r="498" spans="1:8" x14ac:dyDescent="0.2">
      <c r="A498" s="1" t="s">
        <v>31</v>
      </c>
      <c r="B498" s="4">
        <v>703</v>
      </c>
      <c r="C498" s="5">
        <v>99.98</v>
      </c>
      <c r="D498" s="4">
        <v>444</v>
      </c>
      <c r="E498" s="5">
        <v>100.00000000000001</v>
      </c>
      <c r="F498" s="4">
        <v>241</v>
      </c>
      <c r="G498" s="5">
        <v>99.979999999999976</v>
      </c>
      <c r="H498" s="4">
        <v>7</v>
      </c>
    </row>
    <row r="499" spans="1:8" x14ac:dyDescent="0.2">
      <c r="A499" s="2" t="s">
        <v>51</v>
      </c>
      <c r="B499" s="4">
        <v>1</v>
      </c>
      <c r="C499" s="5">
        <v>0.14000000000000001</v>
      </c>
      <c r="D499" s="4">
        <v>0</v>
      </c>
      <c r="E499" s="5">
        <v>0</v>
      </c>
      <c r="F499" s="4">
        <v>1</v>
      </c>
      <c r="G499" s="5">
        <v>0.41</v>
      </c>
      <c r="H499" s="4">
        <v>0</v>
      </c>
    </row>
    <row r="500" spans="1:8" x14ac:dyDescent="0.2">
      <c r="A500" s="2" t="s">
        <v>52</v>
      </c>
      <c r="B500" s="4">
        <v>124</v>
      </c>
      <c r="C500" s="5">
        <v>17.64</v>
      </c>
      <c r="D500" s="4">
        <v>71</v>
      </c>
      <c r="E500" s="5">
        <v>15.99</v>
      </c>
      <c r="F500" s="4">
        <v>53</v>
      </c>
      <c r="G500" s="5">
        <v>21.99</v>
      </c>
      <c r="H500" s="4">
        <v>0</v>
      </c>
    </row>
    <row r="501" spans="1:8" x14ac:dyDescent="0.2">
      <c r="A501" s="2" t="s">
        <v>53</v>
      </c>
      <c r="B501" s="4">
        <v>91</v>
      </c>
      <c r="C501" s="5">
        <v>12.94</v>
      </c>
      <c r="D501" s="4">
        <v>45</v>
      </c>
      <c r="E501" s="5">
        <v>10.14</v>
      </c>
      <c r="F501" s="4">
        <v>44</v>
      </c>
      <c r="G501" s="5">
        <v>18.260000000000002</v>
      </c>
      <c r="H501" s="4">
        <v>1</v>
      </c>
    </row>
    <row r="502" spans="1:8" x14ac:dyDescent="0.2">
      <c r="A502" s="2" t="s">
        <v>54</v>
      </c>
      <c r="B502" s="4">
        <v>1</v>
      </c>
      <c r="C502" s="5">
        <v>0.14000000000000001</v>
      </c>
      <c r="D502" s="4">
        <v>0</v>
      </c>
      <c r="E502" s="5">
        <v>0</v>
      </c>
      <c r="F502" s="4">
        <v>1</v>
      </c>
      <c r="G502" s="5">
        <v>0.41</v>
      </c>
      <c r="H502" s="4">
        <v>0</v>
      </c>
    </row>
    <row r="503" spans="1:8" x14ac:dyDescent="0.2">
      <c r="A503" s="2" t="s">
        <v>55</v>
      </c>
      <c r="B503" s="4">
        <v>1</v>
      </c>
      <c r="C503" s="5">
        <v>0.14000000000000001</v>
      </c>
      <c r="D503" s="4">
        <v>0</v>
      </c>
      <c r="E503" s="5">
        <v>0</v>
      </c>
      <c r="F503" s="4">
        <v>1</v>
      </c>
      <c r="G503" s="5">
        <v>0.41</v>
      </c>
      <c r="H503" s="4">
        <v>0</v>
      </c>
    </row>
    <row r="504" spans="1:8" x14ac:dyDescent="0.2">
      <c r="A504" s="2" t="s">
        <v>56</v>
      </c>
      <c r="B504" s="4">
        <v>11</v>
      </c>
      <c r="C504" s="5">
        <v>1.56</v>
      </c>
      <c r="D504" s="4">
        <v>3</v>
      </c>
      <c r="E504" s="5">
        <v>0.68</v>
      </c>
      <c r="F504" s="4">
        <v>7</v>
      </c>
      <c r="G504" s="5">
        <v>2.9</v>
      </c>
      <c r="H504" s="4">
        <v>1</v>
      </c>
    </row>
    <row r="505" spans="1:8" x14ac:dyDescent="0.2">
      <c r="A505" s="2" t="s">
        <v>57</v>
      </c>
      <c r="B505" s="4">
        <v>177</v>
      </c>
      <c r="C505" s="5">
        <v>25.18</v>
      </c>
      <c r="D505" s="4">
        <v>110</v>
      </c>
      <c r="E505" s="5">
        <v>24.77</v>
      </c>
      <c r="F505" s="4">
        <v>67</v>
      </c>
      <c r="G505" s="5">
        <v>27.8</v>
      </c>
      <c r="H505" s="4">
        <v>0</v>
      </c>
    </row>
    <row r="506" spans="1:8" x14ac:dyDescent="0.2">
      <c r="A506" s="2" t="s">
        <v>58</v>
      </c>
      <c r="B506" s="4">
        <v>4</v>
      </c>
      <c r="C506" s="5">
        <v>0.56999999999999995</v>
      </c>
      <c r="D506" s="4">
        <v>2</v>
      </c>
      <c r="E506" s="5">
        <v>0.45</v>
      </c>
      <c r="F506" s="4">
        <v>2</v>
      </c>
      <c r="G506" s="5">
        <v>0.83</v>
      </c>
      <c r="H506" s="4">
        <v>0</v>
      </c>
    </row>
    <row r="507" spans="1:8" x14ac:dyDescent="0.2">
      <c r="A507" s="2" t="s">
        <v>59</v>
      </c>
      <c r="B507" s="4">
        <v>40</v>
      </c>
      <c r="C507" s="5">
        <v>5.69</v>
      </c>
      <c r="D507" s="4">
        <v>20</v>
      </c>
      <c r="E507" s="5">
        <v>4.5</v>
      </c>
      <c r="F507" s="4">
        <v>20</v>
      </c>
      <c r="G507" s="5">
        <v>8.3000000000000007</v>
      </c>
      <c r="H507" s="4">
        <v>0</v>
      </c>
    </row>
    <row r="508" spans="1:8" x14ac:dyDescent="0.2">
      <c r="A508" s="2" t="s">
        <v>60</v>
      </c>
      <c r="B508" s="4">
        <v>23</v>
      </c>
      <c r="C508" s="5">
        <v>3.27</v>
      </c>
      <c r="D508" s="4">
        <v>16</v>
      </c>
      <c r="E508" s="5">
        <v>3.6</v>
      </c>
      <c r="F508" s="4">
        <v>6</v>
      </c>
      <c r="G508" s="5">
        <v>2.4900000000000002</v>
      </c>
      <c r="H508" s="4">
        <v>0</v>
      </c>
    </row>
    <row r="509" spans="1:8" x14ac:dyDescent="0.2">
      <c r="A509" s="2" t="s">
        <v>61</v>
      </c>
      <c r="B509" s="4">
        <v>92</v>
      </c>
      <c r="C509" s="5">
        <v>13.09</v>
      </c>
      <c r="D509" s="4">
        <v>75</v>
      </c>
      <c r="E509" s="5">
        <v>16.89</v>
      </c>
      <c r="F509" s="4">
        <v>16</v>
      </c>
      <c r="G509" s="5">
        <v>6.64</v>
      </c>
      <c r="H509" s="4">
        <v>1</v>
      </c>
    </row>
    <row r="510" spans="1:8" x14ac:dyDescent="0.2">
      <c r="A510" s="2" t="s">
        <v>62</v>
      </c>
      <c r="B510" s="4">
        <v>68</v>
      </c>
      <c r="C510" s="5">
        <v>9.67</v>
      </c>
      <c r="D510" s="4">
        <v>58</v>
      </c>
      <c r="E510" s="5">
        <v>13.06</v>
      </c>
      <c r="F510" s="4">
        <v>9</v>
      </c>
      <c r="G510" s="5">
        <v>3.73</v>
      </c>
      <c r="H510" s="4">
        <v>0</v>
      </c>
    </row>
    <row r="511" spans="1:8" x14ac:dyDescent="0.2">
      <c r="A511" s="2" t="s">
        <v>63</v>
      </c>
      <c r="B511" s="4">
        <v>32</v>
      </c>
      <c r="C511" s="5">
        <v>4.55</v>
      </c>
      <c r="D511" s="4">
        <v>26</v>
      </c>
      <c r="E511" s="5">
        <v>5.86</v>
      </c>
      <c r="F511" s="4">
        <v>2</v>
      </c>
      <c r="G511" s="5">
        <v>0.83</v>
      </c>
      <c r="H511" s="4">
        <v>1</v>
      </c>
    </row>
    <row r="512" spans="1:8" x14ac:dyDescent="0.2">
      <c r="A512" s="2" t="s">
        <v>64</v>
      </c>
      <c r="B512" s="4">
        <v>19</v>
      </c>
      <c r="C512" s="5">
        <v>2.7</v>
      </c>
      <c r="D512" s="4">
        <v>9</v>
      </c>
      <c r="E512" s="5">
        <v>2.0299999999999998</v>
      </c>
      <c r="F512" s="4">
        <v>6</v>
      </c>
      <c r="G512" s="5">
        <v>2.4900000000000002</v>
      </c>
      <c r="H512" s="4">
        <v>0</v>
      </c>
    </row>
    <row r="513" spans="1:8" x14ac:dyDescent="0.2">
      <c r="A513" s="2" t="s">
        <v>65</v>
      </c>
      <c r="B513" s="4">
        <v>19</v>
      </c>
      <c r="C513" s="5">
        <v>2.7</v>
      </c>
      <c r="D513" s="4">
        <v>9</v>
      </c>
      <c r="E513" s="5">
        <v>2.0299999999999998</v>
      </c>
      <c r="F513" s="4">
        <v>6</v>
      </c>
      <c r="G513" s="5">
        <v>2.4900000000000002</v>
      </c>
      <c r="H513" s="4">
        <v>3</v>
      </c>
    </row>
    <row r="514" spans="1:8" x14ac:dyDescent="0.2">
      <c r="A514" s="1" t="s">
        <v>32</v>
      </c>
      <c r="B514" s="4">
        <v>1864</v>
      </c>
      <c r="C514" s="5">
        <v>100.00999999999999</v>
      </c>
      <c r="D514" s="4">
        <v>1178</v>
      </c>
      <c r="E514" s="5">
        <v>99.97999999999999</v>
      </c>
      <c r="F514" s="4">
        <v>655</v>
      </c>
      <c r="G514" s="5">
        <v>100.00000000000001</v>
      </c>
      <c r="H514" s="4">
        <v>4</v>
      </c>
    </row>
    <row r="515" spans="1:8" x14ac:dyDescent="0.2">
      <c r="A515" s="2" t="s">
        <v>51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52</v>
      </c>
      <c r="B516" s="4">
        <v>419</v>
      </c>
      <c r="C516" s="5">
        <v>22.48</v>
      </c>
      <c r="D516" s="4">
        <v>272</v>
      </c>
      <c r="E516" s="5">
        <v>23.09</v>
      </c>
      <c r="F516" s="4">
        <v>147</v>
      </c>
      <c r="G516" s="5">
        <v>22.44</v>
      </c>
      <c r="H516" s="4">
        <v>0</v>
      </c>
    </row>
    <row r="517" spans="1:8" x14ac:dyDescent="0.2">
      <c r="A517" s="2" t="s">
        <v>53</v>
      </c>
      <c r="B517" s="4">
        <v>278</v>
      </c>
      <c r="C517" s="5">
        <v>14.91</v>
      </c>
      <c r="D517" s="4">
        <v>143</v>
      </c>
      <c r="E517" s="5">
        <v>12.14</v>
      </c>
      <c r="F517" s="4">
        <v>134</v>
      </c>
      <c r="G517" s="5">
        <v>20.46</v>
      </c>
      <c r="H517" s="4">
        <v>0</v>
      </c>
    </row>
    <row r="518" spans="1:8" x14ac:dyDescent="0.2">
      <c r="A518" s="2" t="s">
        <v>54</v>
      </c>
      <c r="B518" s="4">
        <v>4</v>
      </c>
      <c r="C518" s="5">
        <v>0.21</v>
      </c>
      <c r="D518" s="4">
        <v>1</v>
      </c>
      <c r="E518" s="5">
        <v>0.08</v>
      </c>
      <c r="F518" s="4">
        <v>3</v>
      </c>
      <c r="G518" s="5">
        <v>0.46</v>
      </c>
      <c r="H518" s="4">
        <v>0</v>
      </c>
    </row>
    <row r="519" spans="1:8" x14ac:dyDescent="0.2">
      <c r="A519" s="2" t="s">
        <v>55</v>
      </c>
      <c r="B519" s="4">
        <v>11</v>
      </c>
      <c r="C519" s="5">
        <v>0.59</v>
      </c>
      <c r="D519" s="4">
        <v>1</v>
      </c>
      <c r="E519" s="5">
        <v>0.08</v>
      </c>
      <c r="F519" s="4">
        <v>10</v>
      </c>
      <c r="G519" s="5">
        <v>1.53</v>
      </c>
      <c r="H519" s="4">
        <v>0</v>
      </c>
    </row>
    <row r="520" spans="1:8" x14ac:dyDescent="0.2">
      <c r="A520" s="2" t="s">
        <v>56</v>
      </c>
      <c r="B520" s="4">
        <v>22</v>
      </c>
      <c r="C520" s="5">
        <v>1.18</v>
      </c>
      <c r="D520" s="4">
        <v>7</v>
      </c>
      <c r="E520" s="5">
        <v>0.59</v>
      </c>
      <c r="F520" s="4">
        <v>14</v>
      </c>
      <c r="G520" s="5">
        <v>2.14</v>
      </c>
      <c r="H520" s="4">
        <v>1</v>
      </c>
    </row>
    <row r="521" spans="1:8" x14ac:dyDescent="0.2">
      <c r="A521" s="2" t="s">
        <v>57</v>
      </c>
      <c r="B521" s="4">
        <v>429</v>
      </c>
      <c r="C521" s="5">
        <v>23.02</v>
      </c>
      <c r="D521" s="4">
        <v>274</v>
      </c>
      <c r="E521" s="5">
        <v>23.26</v>
      </c>
      <c r="F521" s="4">
        <v>154</v>
      </c>
      <c r="G521" s="5">
        <v>23.51</v>
      </c>
      <c r="H521" s="4">
        <v>1</v>
      </c>
    </row>
    <row r="522" spans="1:8" x14ac:dyDescent="0.2">
      <c r="A522" s="2" t="s">
        <v>58</v>
      </c>
      <c r="B522" s="4">
        <v>5</v>
      </c>
      <c r="C522" s="5">
        <v>0.27</v>
      </c>
      <c r="D522" s="4">
        <v>1</v>
      </c>
      <c r="E522" s="5">
        <v>0.08</v>
      </c>
      <c r="F522" s="4">
        <v>4</v>
      </c>
      <c r="G522" s="5">
        <v>0.61</v>
      </c>
      <c r="H522" s="4">
        <v>0</v>
      </c>
    </row>
    <row r="523" spans="1:8" x14ac:dyDescent="0.2">
      <c r="A523" s="2" t="s">
        <v>59</v>
      </c>
      <c r="B523" s="4">
        <v>76</v>
      </c>
      <c r="C523" s="5">
        <v>4.08</v>
      </c>
      <c r="D523" s="4">
        <v>28</v>
      </c>
      <c r="E523" s="5">
        <v>2.38</v>
      </c>
      <c r="F523" s="4">
        <v>48</v>
      </c>
      <c r="G523" s="5">
        <v>7.33</v>
      </c>
      <c r="H523" s="4">
        <v>0</v>
      </c>
    </row>
    <row r="524" spans="1:8" x14ac:dyDescent="0.2">
      <c r="A524" s="2" t="s">
        <v>60</v>
      </c>
      <c r="B524" s="4">
        <v>79</v>
      </c>
      <c r="C524" s="5">
        <v>4.24</v>
      </c>
      <c r="D524" s="4">
        <v>55</v>
      </c>
      <c r="E524" s="5">
        <v>4.67</v>
      </c>
      <c r="F524" s="4">
        <v>23</v>
      </c>
      <c r="G524" s="5">
        <v>3.51</v>
      </c>
      <c r="H524" s="4">
        <v>0</v>
      </c>
    </row>
    <row r="525" spans="1:8" x14ac:dyDescent="0.2">
      <c r="A525" s="2" t="s">
        <v>61</v>
      </c>
      <c r="B525" s="4">
        <v>134</v>
      </c>
      <c r="C525" s="5">
        <v>7.19</v>
      </c>
      <c r="D525" s="4">
        <v>117</v>
      </c>
      <c r="E525" s="5">
        <v>9.93</v>
      </c>
      <c r="F525" s="4">
        <v>16</v>
      </c>
      <c r="G525" s="5">
        <v>2.44</v>
      </c>
      <c r="H525" s="4">
        <v>0</v>
      </c>
    </row>
    <row r="526" spans="1:8" x14ac:dyDescent="0.2">
      <c r="A526" s="2" t="s">
        <v>62</v>
      </c>
      <c r="B526" s="4">
        <v>203</v>
      </c>
      <c r="C526" s="5">
        <v>10.89</v>
      </c>
      <c r="D526" s="4">
        <v>172</v>
      </c>
      <c r="E526" s="5">
        <v>14.6</v>
      </c>
      <c r="F526" s="4">
        <v>30</v>
      </c>
      <c r="G526" s="5">
        <v>4.58</v>
      </c>
      <c r="H526" s="4">
        <v>0</v>
      </c>
    </row>
    <row r="527" spans="1:8" x14ac:dyDescent="0.2">
      <c r="A527" s="2" t="s">
        <v>63</v>
      </c>
      <c r="B527" s="4">
        <v>76</v>
      </c>
      <c r="C527" s="5">
        <v>4.08</v>
      </c>
      <c r="D527" s="4">
        <v>50</v>
      </c>
      <c r="E527" s="5">
        <v>4.24</v>
      </c>
      <c r="F527" s="4">
        <v>13</v>
      </c>
      <c r="G527" s="5">
        <v>1.98</v>
      </c>
      <c r="H527" s="4">
        <v>0</v>
      </c>
    </row>
    <row r="528" spans="1:8" x14ac:dyDescent="0.2">
      <c r="A528" s="2" t="s">
        <v>64</v>
      </c>
      <c r="B528" s="4">
        <v>77</v>
      </c>
      <c r="C528" s="5">
        <v>4.13</v>
      </c>
      <c r="D528" s="4">
        <v>29</v>
      </c>
      <c r="E528" s="5">
        <v>2.46</v>
      </c>
      <c r="F528" s="4">
        <v>41</v>
      </c>
      <c r="G528" s="5">
        <v>6.26</v>
      </c>
      <c r="H528" s="4">
        <v>0</v>
      </c>
    </row>
    <row r="529" spans="1:8" x14ac:dyDescent="0.2">
      <c r="A529" s="2" t="s">
        <v>65</v>
      </c>
      <c r="B529" s="4">
        <v>51</v>
      </c>
      <c r="C529" s="5">
        <v>2.74</v>
      </c>
      <c r="D529" s="4">
        <v>28</v>
      </c>
      <c r="E529" s="5">
        <v>2.38</v>
      </c>
      <c r="F529" s="4">
        <v>18</v>
      </c>
      <c r="G529" s="5">
        <v>2.75</v>
      </c>
      <c r="H529" s="4">
        <v>2</v>
      </c>
    </row>
    <row r="530" spans="1:8" x14ac:dyDescent="0.2">
      <c r="A530" s="1" t="s">
        <v>33</v>
      </c>
      <c r="B530" s="4">
        <v>1573</v>
      </c>
      <c r="C530" s="5">
        <v>99.99</v>
      </c>
      <c r="D530" s="4">
        <v>1085</v>
      </c>
      <c r="E530" s="5">
        <v>99.99</v>
      </c>
      <c r="F530" s="4">
        <v>471</v>
      </c>
      <c r="G530" s="5">
        <v>100.01000000000002</v>
      </c>
      <c r="H530" s="4">
        <v>1</v>
      </c>
    </row>
    <row r="531" spans="1:8" x14ac:dyDescent="0.2">
      <c r="A531" s="2" t="s">
        <v>51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52</v>
      </c>
      <c r="B532" s="4">
        <v>171</v>
      </c>
      <c r="C532" s="5">
        <v>10.87</v>
      </c>
      <c r="D532" s="4">
        <v>98</v>
      </c>
      <c r="E532" s="5">
        <v>9.0299999999999994</v>
      </c>
      <c r="F532" s="4">
        <v>73</v>
      </c>
      <c r="G532" s="5">
        <v>15.5</v>
      </c>
      <c r="H532" s="4">
        <v>0</v>
      </c>
    </row>
    <row r="533" spans="1:8" x14ac:dyDescent="0.2">
      <c r="A533" s="2" t="s">
        <v>53</v>
      </c>
      <c r="B533" s="4">
        <v>222</v>
      </c>
      <c r="C533" s="5">
        <v>14.11</v>
      </c>
      <c r="D533" s="4">
        <v>132</v>
      </c>
      <c r="E533" s="5">
        <v>12.17</v>
      </c>
      <c r="F533" s="4">
        <v>90</v>
      </c>
      <c r="G533" s="5">
        <v>19.11</v>
      </c>
      <c r="H533" s="4">
        <v>0</v>
      </c>
    </row>
    <row r="534" spans="1:8" x14ac:dyDescent="0.2">
      <c r="A534" s="2" t="s">
        <v>54</v>
      </c>
      <c r="B534" s="4">
        <v>6</v>
      </c>
      <c r="C534" s="5">
        <v>0.38</v>
      </c>
      <c r="D534" s="4">
        <v>0</v>
      </c>
      <c r="E534" s="5">
        <v>0</v>
      </c>
      <c r="F534" s="4">
        <v>6</v>
      </c>
      <c r="G534" s="5">
        <v>1.27</v>
      </c>
      <c r="H534" s="4">
        <v>0</v>
      </c>
    </row>
    <row r="535" spans="1:8" x14ac:dyDescent="0.2">
      <c r="A535" s="2" t="s">
        <v>55</v>
      </c>
      <c r="B535" s="4">
        <v>9</v>
      </c>
      <c r="C535" s="5">
        <v>0.56999999999999995</v>
      </c>
      <c r="D535" s="4">
        <v>1</v>
      </c>
      <c r="E535" s="5">
        <v>0.09</v>
      </c>
      <c r="F535" s="4">
        <v>8</v>
      </c>
      <c r="G535" s="5">
        <v>1.7</v>
      </c>
      <c r="H535" s="4">
        <v>0</v>
      </c>
    </row>
    <row r="536" spans="1:8" x14ac:dyDescent="0.2">
      <c r="A536" s="2" t="s">
        <v>56</v>
      </c>
      <c r="B536" s="4">
        <v>20</v>
      </c>
      <c r="C536" s="5">
        <v>1.27</v>
      </c>
      <c r="D536" s="4">
        <v>3</v>
      </c>
      <c r="E536" s="5">
        <v>0.28000000000000003</v>
      </c>
      <c r="F536" s="4">
        <v>17</v>
      </c>
      <c r="G536" s="5">
        <v>3.61</v>
      </c>
      <c r="H536" s="4">
        <v>0</v>
      </c>
    </row>
    <row r="537" spans="1:8" x14ac:dyDescent="0.2">
      <c r="A537" s="2" t="s">
        <v>57</v>
      </c>
      <c r="B537" s="4">
        <v>452</v>
      </c>
      <c r="C537" s="5">
        <v>28.73</v>
      </c>
      <c r="D537" s="4">
        <v>294</v>
      </c>
      <c r="E537" s="5">
        <v>27.1</v>
      </c>
      <c r="F537" s="4">
        <v>158</v>
      </c>
      <c r="G537" s="5">
        <v>33.549999999999997</v>
      </c>
      <c r="H537" s="4">
        <v>0</v>
      </c>
    </row>
    <row r="538" spans="1:8" x14ac:dyDescent="0.2">
      <c r="A538" s="2" t="s">
        <v>58</v>
      </c>
      <c r="B538" s="4">
        <v>5</v>
      </c>
      <c r="C538" s="5">
        <v>0.32</v>
      </c>
      <c r="D538" s="4">
        <v>1</v>
      </c>
      <c r="E538" s="5">
        <v>0.09</v>
      </c>
      <c r="F538" s="4">
        <v>4</v>
      </c>
      <c r="G538" s="5">
        <v>0.85</v>
      </c>
      <c r="H538" s="4">
        <v>0</v>
      </c>
    </row>
    <row r="539" spans="1:8" x14ac:dyDescent="0.2">
      <c r="A539" s="2" t="s">
        <v>59</v>
      </c>
      <c r="B539" s="4">
        <v>121</v>
      </c>
      <c r="C539" s="5">
        <v>7.69</v>
      </c>
      <c r="D539" s="4">
        <v>76</v>
      </c>
      <c r="E539" s="5">
        <v>7</v>
      </c>
      <c r="F539" s="4">
        <v>45</v>
      </c>
      <c r="G539" s="5">
        <v>9.5500000000000007</v>
      </c>
      <c r="H539" s="4">
        <v>0</v>
      </c>
    </row>
    <row r="540" spans="1:8" x14ac:dyDescent="0.2">
      <c r="A540" s="2" t="s">
        <v>60</v>
      </c>
      <c r="B540" s="4">
        <v>41</v>
      </c>
      <c r="C540" s="5">
        <v>2.61</v>
      </c>
      <c r="D540" s="4">
        <v>30</v>
      </c>
      <c r="E540" s="5">
        <v>2.76</v>
      </c>
      <c r="F540" s="4">
        <v>11</v>
      </c>
      <c r="G540" s="5">
        <v>2.34</v>
      </c>
      <c r="H540" s="4">
        <v>0</v>
      </c>
    </row>
    <row r="541" spans="1:8" x14ac:dyDescent="0.2">
      <c r="A541" s="2" t="s">
        <v>61</v>
      </c>
      <c r="B541" s="4">
        <v>188</v>
      </c>
      <c r="C541" s="5">
        <v>11.95</v>
      </c>
      <c r="D541" s="4">
        <v>175</v>
      </c>
      <c r="E541" s="5">
        <v>16.13</v>
      </c>
      <c r="F541" s="4">
        <v>11</v>
      </c>
      <c r="G541" s="5">
        <v>2.34</v>
      </c>
      <c r="H541" s="4">
        <v>1</v>
      </c>
    </row>
    <row r="542" spans="1:8" x14ac:dyDescent="0.2">
      <c r="A542" s="2" t="s">
        <v>62</v>
      </c>
      <c r="B542" s="4">
        <v>169</v>
      </c>
      <c r="C542" s="5">
        <v>10.74</v>
      </c>
      <c r="D542" s="4">
        <v>149</v>
      </c>
      <c r="E542" s="5">
        <v>13.73</v>
      </c>
      <c r="F542" s="4">
        <v>15</v>
      </c>
      <c r="G542" s="5">
        <v>3.18</v>
      </c>
      <c r="H542" s="4">
        <v>0</v>
      </c>
    </row>
    <row r="543" spans="1:8" x14ac:dyDescent="0.2">
      <c r="A543" s="2" t="s">
        <v>63</v>
      </c>
      <c r="B543" s="4">
        <v>55</v>
      </c>
      <c r="C543" s="5">
        <v>3.5</v>
      </c>
      <c r="D543" s="4">
        <v>43</v>
      </c>
      <c r="E543" s="5">
        <v>3.96</v>
      </c>
      <c r="F543" s="4">
        <v>5</v>
      </c>
      <c r="G543" s="5">
        <v>1.06</v>
      </c>
      <c r="H543" s="4">
        <v>0</v>
      </c>
    </row>
    <row r="544" spans="1:8" x14ac:dyDescent="0.2">
      <c r="A544" s="2" t="s">
        <v>64</v>
      </c>
      <c r="B544" s="4">
        <v>58</v>
      </c>
      <c r="C544" s="5">
        <v>3.69</v>
      </c>
      <c r="D544" s="4">
        <v>40</v>
      </c>
      <c r="E544" s="5">
        <v>3.69</v>
      </c>
      <c r="F544" s="4">
        <v>16</v>
      </c>
      <c r="G544" s="5">
        <v>3.4</v>
      </c>
      <c r="H544" s="4">
        <v>0</v>
      </c>
    </row>
    <row r="545" spans="1:8" x14ac:dyDescent="0.2">
      <c r="A545" s="2" t="s">
        <v>65</v>
      </c>
      <c r="B545" s="4">
        <v>56</v>
      </c>
      <c r="C545" s="5">
        <v>3.56</v>
      </c>
      <c r="D545" s="4">
        <v>43</v>
      </c>
      <c r="E545" s="5">
        <v>3.96</v>
      </c>
      <c r="F545" s="4">
        <v>12</v>
      </c>
      <c r="G545" s="5">
        <v>2.5499999999999998</v>
      </c>
      <c r="H545" s="4">
        <v>0</v>
      </c>
    </row>
    <row r="546" spans="1:8" x14ac:dyDescent="0.2">
      <c r="A546" s="1" t="s">
        <v>34</v>
      </c>
      <c r="B546" s="4">
        <v>938</v>
      </c>
      <c r="C546" s="5">
        <v>100.02000000000002</v>
      </c>
      <c r="D546" s="4">
        <v>572</v>
      </c>
      <c r="E546" s="5">
        <v>100.00000000000001</v>
      </c>
      <c r="F546" s="4">
        <v>342</v>
      </c>
      <c r="G546" s="5">
        <v>99.990000000000009</v>
      </c>
      <c r="H546" s="4">
        <v>6</v>
      </c>
    </row>
    <row r="547" spans="1:8" x14ac:dyDescent="0.2">
      <c r="A547" s="2" t="s">
        <v>51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52</v>
      </c>
      <c r="B548" s="4">
        <v>140</v>
      </c>
      <c r="C548" s="5">
        <v>14.93</v>
      </c>
      <c r="D548" s="4">
        <v>65</v>
      </c>
      <c r="E548" s="5">
        <v>11.36</v>
      </c>
      <c r="F548" s="4">
        <v>75</v>
      </c>
      <c r="G548" s="5">
        <v>21.93</v>
      </c>
      <c r="H548" s="4">
        <v>0</v>
      </c>
    </row>
    <row r="549" spans="1:8" x14ac:dyDescent="0.2">
      <c r="A549" s="2" t="s">
        <v>53</v>
      </c>
      <c r="B549" s="4">
        <v>84</v>
      </c>
      <c r="C549" s="5">
        <v>8.9600000000000009</v>
      </c>
      <c r="D549" s="4">
        <v>30</v>
      </c>
      <c r="E549" s="5">
        <v>5.24</v>
      </c>
      <c r="F549" s="4">
        <v>53</v>
      </c>
      <c r="G549" s="5">
        <v>15.5</v>
      </c>
      <c r="H549" s="4">
        <v>1</v>
      </c>
    </row>
    <row r="550" spans="1:8" x14ac:dyDescent="0.2">
      <c r="A550" s="2" t="s">
        <v>54</v>
      </c>
      <c r="B550" s="4">
        <v>1</v>
      </c>
      <c r="C550" s="5">
        <v>0.11</v>
      </c>
      <c r="D550" s="4">
        <v>0</v>
      </c>
      <c r="E550" s="5">
        <v>0</v>
      </c>
      <c r="F550" s="4">
        <v>1</v>
      </c>
      <c r="G550" s="5">
        <v>0.28999999999999998</v>
      </c>
      <c r="H550" s="4">
        <v>0</v>
      </c>
    </row>
    <row r="551" spans="1:8" x14ac:dyDescent="0.2">
      <c r="A551" s="2" t="s">
        <v>55</v>
      </c>
      <c r="B551" s="4">
        <v>7</v>
      </c>
      <c r="C551" s="5">
        <v>0.75</v>
      </c>
      <c r="D551" s="4">
        <v>0</v>
      </c>
      <c r="E551" s="5">
        <v>0</v>
      </c>
      <c r="F551" s="4">
        <v>7</v>
      </c>
      <c r="G551" s="5">
        <v>2.0499999999999998</v>
      </c>
      <c r="H551" s="4">
        <v>0</v>
      </c>
    </row>
    <row r="552" spans="1:8" x14ac:dyDescent="0.2">
      <c r="A552" s="2" t="s">
        <v>56</v>
      </c>
      <c r="B552" s="4">
        <v>12</v>
      </c>
      <c r="C552" s="5">
        <v>1.28</v>
      </c>
      <c r="D552" s="4">
        <v>3</v>
      </c>
      <c r="E552" s="5">
        <v>0.52</v>
      </c>
      <c r="F552" s="4">
        <v>8</v>
      </c>
      <c r="G552" s="5">
        <v>2.34</v>
      </c>
      <c r="H552" s="4">
        <v>1</v>
      </c>
    </row>
    <row r="553" spans="1:8" x14ac:dyDescent="0.2">
      <c r="A553" s="2" t="s">
        <v>57</v>
      </c>
      <c r="B553" s="4">
        <v>240</v>
      </c>
      <c r="C553" s="5">
        <v>25.59</v>
      </c>
      <c r="D553" s="4">
        <v>142</v>
      </c>
      <c r="E553" s="5">
        <v>24.83</v>
      </c>
      <c r="F553" s="4">
        <v>97</v>
      </c>
      <c r="G553" s="5">
        <v>28.36</v>
      </c>
      <c r="H553" s="4">
        <v>1</v>
      </c>
    </row>
    <row r="554" spans="1:8" x14ac:dyDescent="0.2">
      <c r="A554" s="2" t="s">
        <v>58</v>
      </c>
      <c r="B554" s="4">
        <v>4</v>
      </c>
      <c r="C554" s="5">
        <v>0.43</v>
      </c>
      <c r="D554" s="4">
        <v>2</v>
      </c>
      <c r="E554" s="5">
        <v>0.35</v>
      </c>
      <c r="F554" s="4">
        <v>2</v>
      </c>
      <c r="G554" s="5">
        <v>0.57999999999999996</v>
      </c>
      <c r="H554" s="4">
        <v>0</v>
      </c>
    </row>
    <row r="555" spans="1:8" x14ac:dyDescent="0.2">
      <c r="A555" s="2" t="s">
        <v>59</v>
      </c>
      <c r="B555" s="4">
        <v>58</v>
      </c>
      <c r="C555" s="5">
        <v>6.18</v>
      </c>
      <c r="D555" s="4">
        <v>39</v>
      </c>
      <c r="E555" s="5">
        <v>6.82</v>
      </c>
      <c r="F555" s="4">
        <v>18</v>
      </c>
      <c r="G555" s="5">
        <v>5.26</v>
      </c>
      <c r="H555" s="4">
        <v>1</v>
      </c>
    </row>
    <row r="556" spans="1:8" x14ac:dyDescent="0.2">
      <c r="A556" s="2" t="s">
        <v>60</v>
      </c>
      <c r="B556" s="4">
        <v>35</v>
      </c>
      <c r="C556" s="5">
        <v>3.73</v>
      </c>
      <c r="D556" s="4">
        <v>19</v>
      </c>
      <c r="E556" s="5">
        <v>3.32</v>
      </c>
      <c r="F556" s="4">
        <v>15</v>
      </c>
      <c r="G556" s="5">
        <v>4.3899999999999997</v>
      </c>
      <c r="H556" s="4">
        <v>0</v>
      </c>
    </row>
    <row r="557" spans="1:8" x14ac:dyDescent="0.2">
      <c r="A557" s="2" t="s">
        <v>61</v>
      </c>
      <c r="B557" s="4">
        <v>112</v>
      </c>
      <c r="C557" s="5">
        <v>11.94</v>
      </c>
      <c r="D557" s="4">
        <v>97</v>
      </c>
      <c r="E557" s="5">
        <v>16.96</v>
      </c>
      <c r="F557" s="4">
        <v>15</v>
      </c>
      <c r="G557" s="5">
        <v>4.3899999999999997</v>
      </c>
      <c r="H557" s="4">
        <v>0</v>
      </c>
    </row>
    <row r="558" spans="1:8" x14ac:dyDescent="0.2">
      <c r="A558" s="2" t="s">
        <v>62</v>
      </c>
      <c r="B558" s="4">
        <v>128</v>
      </c>
      <c r="C558" s="5">
        <v>13.65</v>
      </c>
      <c r="D558" s="4">
        <v>112</v>
      </c>
      <c r="E558" s="5">
        <v>19.579999999999998</v>
      </c>
      <c r="F558" s="4">
        <v>14</v>
      </c>
      <c r="G558" s="5">
        <v>4.09</v>
      </c>
      <c r="H558" s="4">
        <v>1</v>
      </c>
    </row>
    <row r="559" spans="1:8" x14ac:dyDescent="0.2">
      <c r="A559" s="2" t="s">
        <v>63</v>
      </c>
      <c r="B559" s="4">
        <v>42</v>
      </c>
      <c r="C559" s="5">
        <v>4.4800000000000004</v>
      </c>
      <c r="D559" s="4">
        <v>31</v>
      </c>
      <c r="E559" s="5">
        <v>5.42</v>
      </c>
      <c r="F559" s="4">
        <v>5</v>
      </c>
      <c r="G559" s="5">
        <v>1.46</v>
      </c>
      <c r="H559" s="4">
        <v>0</v>
      </c>
    </row>
    <row r="560" spans="1:8" x14ac:dyDescent="0.2">
      <c r="A560" s="2" t="s">
        <v>64</v>
      </c>
      <c r="B560" s="4">
        <v>40</v>
      </c>
      <c r="C560" s="5">
        <v>4.26</v>
      </c>
      <c r="D560" s="4">
        <v>18</v>
      </c>
      <c r="E560" s="5">
        <v>3.15</v>
      </c>
      <c r="F560" s="4">
        <v>14</v>
      </c>
      <c r="G560" s="5">
        <v>4.09</v>
      </c>
      <c r="H560" s="4">
        <v>1</v>
      </c>
    </row>
    <row r="561" spans="1:8" x14ac:dyDescent="0.2">
      <c r="A561" s="2" t="s">
        <v>65</v>
      </c>
      <c r="B561" s="4">
        <v>35</v>
      </c>
      <c r="C561" s="5">
        <v>3.73</v>
      </c>
      <c r="D561" s="4">
        <v>14</v>
      </c>
      <c r="E561" s="5">
        <v>2.4500000000000002</v>
      </c>
      <c r="F561" s="4">
        <v>18</v>
      </c>
      <c r="G561" s="5">
        <v>5.26</v>
      </c>
      <c r="H561" s="4">
        <v>0</v>
      </c>
    </row>
    <row r="562" spans="1:8" x14ac:dyDescent="0.2">
      <c r="A562" s="1" t="s">
        <v>35</v>
      </c>
      <c r="B562" s="4">
        <v>1204</v>
      </c>
      <c r="C562" s="5">
        <v>100</v>
      </c>
      <c r="D562" s="4">
        <v>798</v>
      </c>
      <c r="E562" s="5">
        <v>100.02</v>
      </c>
      <c r="F562" s="4">
        <v>390</v>
      </c>
      <c r="G562" s="5">
        <v>100.02000000000001</v>
      </c>
      <c r="H562" s="4">
        <v>0</v>
      </c>
    </row>
    <row r="563" spans="1:8" x14ac:dyDescent="0.2">
      <c r="A563" s="2" t="s">
        <v>51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52</v>
      </c>
      <c r="B564" s="4">
        <v>156</v>
      </c>
      <c r="C564" s="5">
        <v>12.96</v>
      </c>
      <c r="D564" s="4">
        <v>80</v>
      </c>
      <c r="E564" s="5">
        <v>10.029999999999999</v>
      </c>
      <c r="F564" s="4">
        <v>76</v>
      </c>
      <c r="G564" s="5">
        <v>19.489999999999998</v>
      </c>
      <c r="H564" s="4">
        <v>0</v>
      </c>
    </row>
    <row r="565" spans="1:8" x14ac:dyDescent="0.2">
      <c r="A565" s="2" t="s">
        <v>53</v>
      </c>
      <c r="B565" s="4">
        <v>160</v>
      </c>
      <c r="C565" s="5">
        <v>13.29</v>
      </c>
      <c r="D565" s="4">
        <v>94</v>
      </c>
      <c r="E565" s="5">
        <v>11.78</v>
      </c>
      <c r="F565" s="4">
        <v>66</v>
      </c>
      <c r="G565" s="5">
        <v>16.920000000000002</v>
      </c>
      <c r="H565" s="4">
        <v>0</v>
      </c>
    </row>
    <row r="566" spans="1:8" x14ac:dyDescent="0.2">
      <c r="A566" s="2" t="s">
        <v>54</v>
      </c>
      <c r="B566" s="4">
        <v>2</v>
      </c>
      <c r="C566" s="5">
        <v>0.17</v>
      </c>
      <c r="D566" s="4">
        <v>0</v>
      </c>
      <c r="E566" s="5">
        <v>0</v>
      </c>
      <c r="F566" s="4">
        <v>2</v>
      </c>
      <c r="G566" s="5">
        <v>0.51</v>
      </c>
      <c r="H566" s="4">
        <v>0</v>
      </c>
    </row>
    <row r="567" spans="1:8" x14ac:dyDescent="0.2">
      <c r="A567" s="2" t="s">
        <v>55</v>
      </c>
      <c r="B567" s="4">
        <v>5</v>
      </c>
      <c r="C567" s="5">
        <v>0.42</v>
      </c>
      <c r="D567" s="4">
        <v>1</v>
      </c>
      <c r="E567" s="5">
        <v>0.13</v>
      </c>
      <c r="F567" s="4">
        <v>4</v>
      </c>
      <c r="G567" s="5">
        <v>1.03</v>
      </c>
      <c r="H567" s="4">
        <v>0</v>
      </c>
    </row>
    <row r="568" spans="1:8" x14ac:dyDescent="0.2">
      <c r="A568" s="2" t="s">
        <v>56</v>
      </c>
      <c r="B568" s="4">
        <v>11</v>
      </c>
      <c r="C568" s="5">
        <v>0.91</v>
      </c>
      <c r="D568" s="4">
        <v>2</v>
      </c>
      <c r="E568" s="5">
        <v>0.25</v>
      </c>
      <c r="F568" s="4">
        <v>9</v>
      </c>
      <c r="G568" s="5">
        <v>2.31</v>
      </c>
      <c r="H568" s="4">
        <v>0</v>
      </c>
    </row>
    <row r="569" spans="1:8" x14ac:dyDescent="0.2">
      <c r="A569" s="2" t="s">
        <v>57</v>
      </c>
      <c r="B569" s="4">
        <v>358</v>
      </c>
      <c r="C569" s="5">
        <v>29.73</v>
      </c>
      <c r="D569" s="4">
        <v>248</v>
      </c>
      <c r="E569" s="5">
        <v>31.08</v>
      </c>
      <c r="F569" s="4">
        <v>110</v>
      </c>
      <c r="G569" s="5">
        <v>28.21</v>
      </c>
      <c r="H569" s="4">
        <v>0</v>
      </c>
    </row>
    <row r="570" spans="1:8" x14ac:dyDescent="0.2">
      <c r="A570" s="2" t="s">
        <v>58</v>
      </c>
      <c r="B570" s="4">
        <v>3</v>
      </c>
      <c r="C570" s="5">
        <v>0.25</v>
      </c>
      <c r="D570" s="4">
        <v>2</v>
      </c>
      <c r="E570" s="5">
        <v>0.25</v>
      </c>
      <c r="F570" s="4">
        <v>1</v>
      </c>
      <c r="G570" s="5">
        <v>0.26</v>
      </c>
      <c r="H570" s="4">
        <v>0</v>
      </c>
    </row>
    <row r="571" spans="1:8" x14ac:dyDescent="0.2">
      <c r="A571" s="2" t="s">
        <v>59</v>
      </c>
      <c r="B571" s="4">
        <v>49</v>
      </c>
      <c r="C571" s="5">
        <v>4.07</v>
      </c>
      <c r="D571" s="4">
        <v>18</v>
      </c>
      <c r="E571" s="5">
        <v>2.2599999999999998</v>
      </c>
      <c r="F571" s="4">
        <v>31</v>
      </c>
      <c r="G571" s="5">
        <v>7.95</v>
      </c>
      <c r="H571" s="4">
        <v>0</v>
      </c>
    </row>
    <row r="572" spans="1:8" x14ac:dyDescent="0.2">
      <c r="A572" s="2" t="s">
        <v>60</v>
      </c>
      <c r="B572" s="4">
        <v>37</v>
      </c>
      <c r="C572" s="5">
        <v>3.07</v>
      </c>
      <c r="D572" s="4">
        <v>20</v>
      </c>
      <c r="E572" s="5">
        <v>2.5099999999999998</v>
      </c>
      <c r="F572" s="4">
        <v>17</v>
      </c>
      <c r="G572" s="5">
        <v>4.3600000000000003</v>
      </c>
      <c r="H572" s="4">
        <v>0</v>
      </c>
    </row>
    <row r="573" spans="1:8" x14ac:dyDescent="0.2">
      <c r="A573" s="2" t="s">
        <v>61</v>
      </c>
      <c r="B573" s="4">
        <v>167</v>
      </c>
      <c r="C573" s="5">
        <v>13.87</v>
      </c>
      <c r="D573" s="4">
        <v>149</v>
      </c>
      <c r="E573" s="5">
        <v>18.670000000000002</v>
      </c>
      <c r="F573" s="4">
        <v>18</v>
      </c>
      <c r="G573" s="5">
        <v>4.62</v>
      </c>
      <c r="H573" s="4">
        <v>0</v>
      </c>
    </row>
    <row r="574" spans="1:8" x14ac:dyDescent="0.2">
      <c r="A574" s="2" t="s">
        <v>62</v>
      </c>
      <c r="B574" s="4">
        <v>128</v>
      </c>
      <c r="C574" s="5">
        <v>10.63</v>
      </c>
      <c r="D574" s="4">
        <v>110</v>
      </c>
      <c r="E574" s="5">
        <v>13.78</v>
      </c>
      <c r="F574" s="4">
        <v>17</v>
      </c>
      <c r="G574" s="5">
        <v>4.3600000000000003</v>
      </c>
      <c r="H574" s="4">
        <v>0</v>
      </c>
    </row>
    <row r="575" spans="1:8" x14ac:dyDescent="0.2">
      <c r="A575" s="2" t="s">
        <v>63</v>
      </c>
      <c r="B575" s="4">
        <v>42</v>
      </c>
      <c r="C575" s="5">
        <v>3.49</v>
      </c>
      <c r="D575" s="4">
        <v>24</v>
      </c>
      <c r="E575" s="5">
        <v>3.01</v>
      </c>
      <c r="F575" s="4">
        <v>3</v>
      </c>
      <c r="G575" s="5">
        <v>0.77</v>
      </c>
      <c r="H575" s="4">
        <v>0</v>
      </c>
    </row>
    <row r="576" spans="1:8" x14ac:dyDescent="0.2">
      <c r="A576" s="2" t="s">
        <v>64</v>
      </c>
      <c r="B576" s="4">
        <v>50</v>
      </c>
      <c r="C576" s="5">
        <v>4.1500000000000004</v>
      </c>
      <c r="D576" s="4">
        <v>33</v>
      </c>
      <c r="E576" s="5">
        <v>4.1399999999999997</v>
      </c>
      <c r="F576" s="4">
        <v>17</v>
      </c>
      <c r="G576" s="5">
        <v>4.3600000000000003</v>
      </c>
      <c r="H576" s="4">
        <v>0</v>
      </c>
    </row>
    <row r="577" spans="1:8" x14ac:dyDescent="0.2">
      <c r="A577" s="2" t="s">
        <v>65</v>
      </c>
      <c r="B577" s="4">
        <v>36</v>
      </c>
      <c r="C577" s="5">
        <v>2.99</v>
      </c>
      <c r="D577" s="4">
        <v>17</v>
      </c>
      <c r="E577" s="5">
        <v>2.13</v>
      </c>
      <c r="F577" s="4">
        <v>19</v>
      </c>
      <c r="G577" s="5">
        <v>4.87</v>
      </c>
      <c r="H577" s="4">
        <v>0</v>
      </c>
    </row>
    <row r="578" spans="1:8" x14ac:dyDescent="0.2">
      <c r="A578" s="1" t="s">
        <v>36</v>
      </c>
      <c r="B578" s="4">
        <v>1407</v>
      </c>
      <c r="C578" s="5">
        <v>100.01</v>
      </c>
      <c r="D578" s="4">
        <v>973</v>
      </c>
      <c r="E578" s="5">
        <v>99.98</v>
      </c>
      <c r="F578" s="4">
        <v>428</v>
      </c>
      <c r="G578" s="5">
        <v>99.99</v>
      </c>
      <c r="H578" s="4">
        <v>1</v>
      </c>
    </row>
    <row r="579" spans="1:8" x14ac:dyDescent="0.2">
      <c r="A579" s="2" t="s">
        <v>51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52</v>
      </c>
      <c r="B580" s="4">
        <v>304</v>
      </c>
      <c r="C580" s="5">
        <v>21.61</v>
      </c>
      <c r="D580" s="4">
        <v>173</v>
      </c>
      <c r="E580" s="5">
        <v>17.78</v>
      </c>
      <c r="F580" s="4">
        <v>131</v>
      </c>
      <c r="G580" s="5">
        <v>30.61</v>
      </c>
      <c r="H580" s="4">
        <v>0</v>
      </c>
    </row>
    <row r="581" spans="1:8" x14ac:dyDescent="0.2">
      <c r="A581" s="2" t="s">
        <v>53</v>
      </c>
      <c r="B581" s="4">
        <v>362</v>
      </c>
      <c r="C581" s="5">
        <v>25.73</v>
      </c>
      <c r="D581" s="4">
        <v>254</v>
      </c>
      <c r="E581" s="5">
        <v>26.1</v>
      </c>
      <c r="F581" s="4">
        <v>107</v>
      </c>
      <c r="G581" s="5">
        <v>25</v>
      </c>
      <c r="H581" s="4">
        <v>1</v>
      </c>
    </row>
    <row r="582" spans="1:8" x14ac:dyDescent="0.2">
      <c r="A582" s="2" t="s">
        <v>54</v>
      </c>
      <c r="B582" s="4">
        <v>1</v>
      </c>
      <c r="C582" s="5">
        <v>7.0000000000000007E-2</v>
      </c>
      <c r="D582" s="4">
        <v>0</v>
      </c>
      <c r="E582" s="5">
        <v>0</v>
      </c>
      <c r="F582" s="4">
        <v>1</v>
      </c>
      <c r="G582" s="5">
        <v>0.23</v>
      </c>
      <c r="H582" s="4">
        <v>0</v>
      </c>
    </row>
    <row r="583" spans="1:8" x14ac:dyDescent="0.2">
      <c r="A583" s="2" t="s">
        <v>55</v>
      </c>
      <c r="B583" s="4">
        <v>4</v>
      </c>
      <c r="C583" s="5">
        <v>0.28000000000000003</v>
      </c>
      <c r="D583" s="4">
        <v>1</v>
      </c>
      <c r="E583" s="5">
        <v>0.1</v>
      </c>
      <c r="F583" s="4">
        <v>3</v>
      </c>
      <c r="G583" s="5">
        <v>0.7</v>
      </c>
      <c r="H583" s="4">
        <v>0</v>
      </c>
    </row>
    <row r="584" spans="1:8" x14ac:dyDescent="0.2">
      <c r="A584" s="2" t="s">
        <v>56</v>
      </c>
      <c r="B584" s="4">
        <v>10</v>
      </c>
      <c r="C584" s="5">
        <v>0.71</v>
      </c>
      <c r="D584" s="4">
        <v>5</v>
      </c>
      <c r="E584" s="5">
        <v>0.51</v>
      </c>
      <c r="F584" s="4">
        <v>5</v>
      </c>
      <c r="G584" s="5">
        <v>1.17</v>
      </c>
      <c r="H584" s="4">
        <v>0</v>
      </c>
    </row>
    <row r="585" spans="1:8" x14ac:dyDescent="0.2">
      <c r="A585" s="2" t="s">
        <v>57</v>
      </c>
      <c r="B585" s="4">
        <v>275</v>
      </c>
      <c r="C585" s="5">
        <v>19.55</v>
      </c>
      <c r="D585" s="4">
        <v>179</v>
      </c>
      <c r="E585" s="5">
        <v>18.399999999999999</v>
      </c>
      <c r="F585" s="4">
        <v>96</v>
      </c>
      <c r="G585" s="5">
        <v>22.43</v>
      </c>
      <c r="H585" s="4">
        <v>0</v>
      </c>
    </row>
    <row r="586" spans="1:8" x14ac:dyDescent="0.2">
      <c r="A586" s="2" t="s">
        <v>58</v>
      </c>
      <c r="B586" s="4">
        <v>7</v>
      </c>
      <c r="C586" s="5">
        <v>0.5</v>
      </c>
      <c r="D586" s="4">
        <v>1</v>
      </c>
      <c r="E586" s="5">
        <v>0.1</v>
      </c>
      <c r="F586" s="4">
        <v>6</v>
      </c>
      <c r="G586" s="5">
        <v>1.4</v>
      </c>
      <c r="H586" s="4">
        <v>0</v>
      </c>
    </row>
    <row r="587" spans="1:8" x14ac:dyDescent="0.2">
      <c r="A587" s="2" t="s">
        <v>59</v>
      </c>
      <c r="B587" s="4">
        <v>27</v>
      </c>
      <c r="C587" s="5">
        <v>1.92</v>
      </c>
      <c r="D587" s="4">
        <v>15</v>
      </c>
      <c r="E587" s="5">
        <v>1.54</v>
      </c>
      <c r="F587" s="4">
        <v>12</v>
      </c>
      <c r="G587" s="5">
        <v>2.8</v>
      </c>
      <c r="H587" s="4">
        <v>0</v>
      </c>
    </row>
    <row r="588" spans="1:8" x14ac:dyDescent="0.2">
      <c r="A588" s="2" t="s">
        <v>60</v>
      </c>
      <c r="B588" s="4">
        <v>45</v>
      </c>
      <c r="C588" s="5">
        <v>3.2</v>
      </c>
      <c r="D588" s="4">
        <v>29</v>
      </c>
      <c r="E588" s="5">
        <v>2.98</v>
      </c>
      <c r="F588" s="4">
        <v>16</v>
      </c>
      <c r="G588" s="5">
        <v>3.74</v>
      </c>
      <c r="H588" s="4">
        <v>0</v>
      </c>
    </row>
    <row r="589" spans="1:8" x14ac:dyDescent="0.2">
      <c r="A589" s="2" t="s">
        <v>61</v>
      </c>
      <c r="B589" s="4">
        <v>97</v>
      </c>
      <c r="C589" s="5">
        <v>6.89</v>
      </c>
      <c r="D589" s="4">
        <v>87</v>
      </c>
      <c r="E589" s="5">
        <v>8.94</v>
      </c>
      <c r="F589" s="4">
        <v>10</v>
      </c>
      <c r="G589" s="5">
        <v>2.34</v>
      </c>
      <c r="H589" s="4">
        <v>0</v>
      </c>
    </row>
    <row r="590" spans="1:8" x14ac:dyDescent="0.2">
      <c r="A590" s="2" t="s">
        <v>62</v>
      </c>
      <c r="B590" s="4">
        <v>140</v>
      </c>
      <c r="C590" s="5">
        <v>9.9499999999999993</v>
      </c>
      <c r="D590" s="4">
        <v>127</v>
      </c>
      <c r="E590" s="5">
        <v>13.05</v>
      </c>
      <c r="F590" s="4">
        <v>12</v>
      </c>
      <c r="G590" s="5">
        <v>2.8</v>
      </c>
      <c r="H590" s="4">
        <v>0</v>
      </c>
    </row>
    <row r="591" spans="1:8" x14ac:dyDescent="0.2">
      <c r="A591" s="2" t="s">
        <v>63</v>
      </c>
      <c r="B591" s="4">
        <v>53</v>
      </c>
      <c r="C591" s="5">
        <v>3.77</v>
      </c>
      <c r="D591" s="4">
        <v>47</v>
      </c>
      <c r="E591" s="5">
        <v>4.83</v>
      </c>
      <c r="F591" s="4">
        <v>3</v>
      </c>
      <c r="G591" s="5">
        <v>0.7</v>
      </c>
      <c r="H591" s="4">
        <v>0</v>
      </c>
    </row>
    <row r="592" spans="1:8" x14ac:dyDescent="0.2">
      <c r="A592" s="2" t="s">
        <v>64</v>
      </c>
      <c r="B592" s="4">
        <v>42</v>
      </c>
      <c r="C592" s="5">
        <v>2.99</v>
      </c>
      <c r="D592" s="4">
        <v>32</v>
      </c>
      <c r="E592" s="5">
        <v>3.29</v>
      </c>
      <c r="F592" s="4">
        <v>9</v>
      </c>
      <c r="G592" s="5">
        <v>2.1</v>
      </c>
      <c r="H592" s="4">
        <v>0</v>
      </c>
    </row>
    <row r="593" spans="1:8" x14ac:dyDescent="0.2">
      <c r="A593" s="2" t="s">
        <v>65</v>
      </c>
      <c r="B593" s="4">
        <v>40</v>
      </c>
      <c r="C593" s="5">
        <v>2.84</v>
      </c>
      <c r="D593" s="4">
        <v>23</v>
      </c>
      <c r="E593" s="5">
        <v>2.36</v>
      </c>
      <c r="F593" s="4">
        <v>17</v>
      </c>
      <c r="G593" s="5">
        <v>3.97</v>
      </c>
      <c r="H593" s="4">
        <v>0</v>
      </c>
    </row>
    <row r="594" spans="1:8" x14ac:dyDescent="0.2">
      <c r="A594" s="1" t="s">
        <v>37</v>
      </c>
      <c r="B594" s="4">
        <v>909</v>
      </c>
      <c r="C594" s="5">
        <v>99.99</v>
      </c>
      <c r="D594" s="4">
        <v>478</v>
      </c>
      <c r="E594" s="5">
        <v>100</v>
      </c>
      <c r="F594" s="4">
        <v>414</v>
      </c>
      <c r="G594" s="5">
        <v>99.999999999999986</v>
      </c>
      <c r="H594" s="4">
        <v>3</v>
      </c>
    </row>
    <row r="595" spans="1:8" x14ac:dyDescent="0.2">
      <c r="A595" s="2" t="s">
        <v>51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52</v>
      </c>
      <c r="B596" s="4">
        <v>139</v>
      </c>
      <c r="C596" s="5">
        <v>15.29</v>
      </c>
      <c r="D596" s="4">
        <v>71</v>
      </c>
      <c r="E596" s="5">
        <v>14.85</v>
      </c>
      <c r="F596" s="4">
        <v>68</v>
      </c>
      <c r="G596" s="5">
        <v>16.43</v>
      </c>
      <c r="H596" s="4">
        <v>0</v>
      </c>
    </row>
    <row r="597" spans="1:8" x14ac:dyDescent="0.2">
      <c r="A597" s="2" t="s">
        <v>53</v>
      </c>
      <c r="B597" s="4">
        <v>149</v>
      </c>
      <c r="C597" s="5">
        <v>16.39</v>
      </c>
      <c r="D597" s="4">
        <v>56</v>
      </c>
      <c r="E597" s="5">
        <v>11.72</v>
      </c>
      <c r="F597" s="4">
        <v>93</v>
      </c>
      <c r="G597" s="5">
        <v>22.46</v>
      </c>
      <c r="H597" s="4">
        <v>0</v>
      </c>
    </row>
    <row r="598" spans="1:8" x14ac:dyDescent="0.2">
      <c r="A598" s="2" t="s">
        <v>54</v>
      </c>
      <c r="B598" s="4">
        <v>3</v>
      </c>
      <c r="C598" s="5">
        <v>0.33</v>
      </c>
      <c r="D598" s="4">
        <v>0</v>
      </c>
      <c r="E598" s="5">
        <v>0</v>
      </c>
      <c r="F598" s="4">
        <v>3</v>
      </c>
      <c r="G598" s="5">
        <v>0.72</v>
      </c>
      <c r="H598" s="4">
        <v>0</v>
      </c>
    </row>
    <row r="599" spans="1:8" x14ac:dyDescent="0.2">
      <c r="A599" s="2" t="s">
        <v>55</v>
      </c>
      <c r="B599" s="4">
        <v>11</v>
      </c>
      <c r="C599" s="5">
        <v>1.21</v>
      </c>
      <c r="D599" s="4">
        <v>1</v>
      </c>
      <c r="E599" s="5">
        <v>0.21</v>
      </c>
      <c r="F599" s="4">
        <v>9</v>
      </c>
      <c r="G599" s="5">
        <v>2.17</v>
      </c>
      <c r="H599" s="4">
        <v>0</v>
      </c>
    </row>
    <row r="600" spans="1:8" x14ac:dyDescent="0.2">
      <c r="A600" s="2" t="s">
        <v>56</v>
      </c>
      <c r="B600" s="4">
        <v>9</v>
      </c>
      <c r="C600" s="5">
        <v>0.99</v>
      </c>
      <c r="D600" s="4">
        <v>2</v>
      </c>
      <c r="E600" s="5">
        <v>0.42</v>
      </c>
      <c r="F600" s="4">
        <v>7</v>
      </c>
      <c r="G600" s="5">
        <v>1.69</v>
      </c>
      <c r="H600" s="4">
        <v>0</v>
      </c>
    </row>
    <row r="601" spans="1:8" x14ac:dyDescent="0.2">
      <c r="A601" s="2" t="s">
        <v>57</v>
      </c>
      <c r="B601" s="4">
        <v>214</v>
      </c>
      <c r="C601" s="5">
        <v>23.54</v>
      </c>
      <c r="D601" s="4">
        <v>105</v>
      </c>
      <c r="E601" s="5">
        <v>21.97</v>
      </c>
      <c r="F601" s="4">
        <v>109</v>
      </c>
      <c r="G601" s="5">
        <v>26.33</v>
      </c>
      <c r="H601" s="4">
        <v>0</v>
      </c>
    </row>
    <row r="602" spans="1:8" x14ac:dyDescent="0.2">
      <c r="A602" s="2" t="s">
        <v>58</v>
      </c>
      <c r="B602" s="4">
        <v>5</v>
      </c>
      <c r="C602" s="5">
        <v>0.55000000000000004</v>
      </c>
      <c r="D602" s="4">
        <v>0</v>
      </c>
      <c r="E602" s="5">
        <v>0</v>
      </c>
      <c r="F602" s="4">
        <v>5</v>
      </c>
      <c r="G602" s="5">
        <v>1.21</v>
      </c>
      <c r="H602" s="4">
        <v>0</v>
      </c>
    </row>
    <row r="603" spans="1:8" x14ac:dyDescent="0.2">
      <c r="A603" s="2" t="s">
        <v>59</v>
      </c>
      <c r="B603" s="4">
        <v>56</v>
      </c>
      <c r="C603" s="5">
        <v>6.16</v>
      </c>
      <c r="D603" s="4">
        <v>19</v>
      </c>
      <c r="E603" s="5">
        <v>3.97</v>
      </c>
      <c r="F603" s="4">
        <v>37</v>
      </c>
      <c r="G603" s="5">
        <v>8.94</v>
      </c>
      <c r="H603" s="4">
        <v>0</v>
      </c>
    </row>
    <row r="604" spans="1:8" x14ac:dyDescent="0.2">
      <c r="A604" s="2" t="s">
        <v>60</v>
      </c>
      <c r="B604" s="4">
        <v>42</v>
      </c>
      <c r="C604" s="5">
        <v>4.62</v>
      </c>
      <c r="D604" s="4">
        <v>24</v>
      </c>
      <c r="E604" s="5">
        <v>5.0199999999999996</v>
      </c>
      <c r="F604" s="4">
        <v>16</v>
      </c>
      <c r="G604" s="5">
        <v>3.86</v>
      </c>
      <c r="H604" s="4">
        <v>0</v>
      </c>
    </row>
    <row r="605" spans="1:8" x14ac:dyDescent="0.2">
      <c r="A605" s="2" t="s">
        <v>61</v>
      </c>
      <c r="B605" s="4">
        <v>104</v>
      </c>
      <c r="C605" s="5">
        <v>11.44</v>
      </c>
      <c r="D605" s="4">
        <v>84</v>
      </c>
      <c r="E605" s="5">
        <v>17.57</v>
      </c>
      <c r="F605" s="4">
        <v>19</v>
      </c>
      <c r="G605" s="5">
        <v>4.59</v>
      </c>
      <c r="H605" s="4">
        <v>0</v>
      </c>
    </row>
    <row r="606" spans="1:8" x14ac:dyDescent="0.2">
      <c r="A606" s="2" t="s">
        <v>62</v>
      </c>
      <c r="B606" s="4">
        <v>91</v>
      </c>
      <c r="C606" s="5">
        <v>10.01</v>
      </c>
      <c r="D606" s="4">
        <v>68</v>
      </c>
      <c r="E606" s="5">
        <v>14.23</v>
      </c>
      <c r="F606" s="4">
        <v>22</v>
      </c>
      <c r="G606" s="5">
        <v>5.31</v>
      </c>
      <c r="H606" s="4">
        <v>0</v>
      </c>
    </row>
    <row r="607" spans="1:8" x14ac:dyDescent="0.2">
      <c r="A607" s="2" t="s">
        <v>63</v>
      </c>
      <c r="B607" s="4">
        <v>25</v>
      </c>
      <c r="C607" s="5">
        <v>2.75</v>
      </c>
      <c r="D607" s="4">
        <v>12</v>
      </c>
      <c r="E607" s="5">
        <v>2.5099999999999998</v>
      </c>
      <c r="F607" s="4">
        <v>5</v>
      </c>
      <c r="G607" s="5">
        <v>1.21</v>
      </c>
      <c r="H607" s="4">
        <v>2</v>
      </c>
    </row>
    <row r="608" spans="1:8" x14ac:dyDescent="0.2">
      <c r="A608" s="2" t="s">
        <v>64</v>
      </c>
      <c r="B608" s="4">
        <v>33</v>
      </c>
      <c r="C608" s="5">
        <v>3.63</v>
      </c>
      <c r="D608" s="4">
        <v>20</v>
      </c>
      <c r="E608" s="5">
        <v>4.18</v>
      </c>
      <c r="F608" s="4">
        <v>11</v>
      </c>
      <c r="G608" s="5">
        <v>2.66</v>
      </c>
      <c r="H608" s="4">
        <v>0</v>
      </c>
    </row>
    <row r="609" spans="1:8" x14ac:dyDescent="0.2">
      <c r="A609" s="2" t="s">
        <v>65</v>
      </c>
      <c r="B609" s="4">
        <v>28</v>
      </c>
      <c r="C609" s="5">
        <v>3.08</v>
      </c>
      <c r="D609" s="4">
        <v>16</v>
      </c>
      <c r="E609" s="5">
        <v>3.35</v>
      </c>
      <c r="F609" s="4">
        <v>10</v>
      </c>
      <c r="G609" s="5">
        <v>2.42</v>
      </c>
      <c r="H609" s="4">
        <v>1</v>
      </c>
    </row>
    <row r="610" spans="1:8" x14ac:dyDescent="0.2">
      <c r="A610" s="1" t="s">
        <v>38</v>
      </c>
      <c r="B610" s="4">
        <v>1915</v>
      </c>
      <c r="C610" s="5">
        <v>99.990000000000009</v>
      </c>
      <c r="D610" s="4">
        <v>1107</v>
      </c>
      <c r="E610" s="5">
        <v>99.99</v>
      </c>
      <c r="F610" s="4">
        <v>751</v>
      </c>
      <c r="G610" s="5">
        <v>99.990000000000009</v>
      </c>
      <c r="H610" s="4">
        <v>11</v>
      </c>
    </row>
    <row r="611" spans="1:8" x14ac:dyDescent="0.2">
      <c r="A611" s="2" t="s">
        <v>51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52</v>
      </c>
      <c r="B612" s="4">
        <v>284</v>
      </c>
      <c r="C612" s="5">
        <v>14.83</v>
      </c>
      <c r="D612" s="4">
        <v>121</v>
      </c>
      <c r="E612" s="5">
        <v>10.93</v>
      </c>
      <c r="F612" s="4">
        <v>163</v>
      </c>
      <c r="G612" s="5">
        <v>21.7</v>
      </c>
      <c r="H612" s="4">
        <v>0</v>
      </c>
    </row>
    <row r="613" spans="1:8" x14ac:dyDescent="0.2">
      <c r="A613" s="2" t="s">
        <v>53</v>
      </c>
      <c r="B613" s="4">
        <v>369</v>
      </c>
      <c r="C613" s="5">
        <v>19.27</v>
      </c>
      <c r="D613" s="4">
        <v>243</v>
      </c>
      <c r="E613" s="5">
        <v>21.95</v>
      </c>
      <c r="F613" s="4">
        <v>126</v>
      </c>
      <c r="G613" s="5">
        <v>16.78</v>
      </c>
      <c r="H613" s="4">
        <v>0</v>
      </c>
    </row>
    <row r="614" spans="1:8" x14ac:dyDescent="0.2">
      <c r="A614" s="2" t="s">
        <v>54</v>
      </c>
      <c r="B614" s="4">
        <v>6</v>
      </c>
      <c r="C614" s="5">
        <v>0.31</v>
      </c>
      <c r="D614" s="4">
        <v>0</v>
      </c>
      <c r="E614" s="5">
        <v>0</v>
      </c>
      <c r="F614" s="4">
        <v>6</v>
      </c>
      <c r="G614" s="5">
        <v>0.8</v>
      </c>
      <c r="H614" s="4">
        <v>0</v>
      </c>
    </row>
    <row r="615" spans="1:8" x14ac:dyDescent="0.2">
      <c r="A615" s="2" t="s">
        <v>55</v>
      </c>
      <c r="B615" s="4">
        <v>11</v>
      </c>
      <c r="C615" s="5">
        <v>0.56999999999999995</v>
      </c>
      <c r="D615" s="4">
        <v>0</v>
      </c>
      <c r="E615" s="5">
        <v>0</v>
      </c>
      <c r="F615" s="4">
        <v>11</v>
      </c>
      <c r="G615" s="5">
        <v>1.46</v>
      </c>
      <c r="H615" s="4">
        <v>0</v>
      </c>
    </row>
    <row r="616" spans="1:8" x14ac:dyDescent="0.2">
      <c r="A616" s="2" t="s">
        <v>56</v>
      </c>
      <c r="B616" s="4">
        <v>28</v>
      </c>
      <c r="C616" s="5">
        <v>1.46</v>
      </c>
      <c r="D616" s="4">
        <v>4</v>
      </c>
      <c r="E616" s="5">
        <v>0.36</v>
      </c>
      <c r="F616" s="4">
        <v>23</v>
      </c>
      <c r="G616" s="5">
        <v>3.06</v>
      </c>
      <c r="H616" s="4">
        <v>0</v>
      </c>
    </row>
    <row r="617" spans="1:8" x14ac:dyDescent="0.2">
      <c r="A617" s="2" t="s">
        <v>57</v>
      </c>
      <c r="B617" s="4">
        <v>450</v>
      </c>
      <c r="C617" s="5">
        <v>23.5</v>
      </c>
      <c r="D617" s="4">
        <v>264</v>
      </c>
      <c r="E617" s="5">
        <v>23.85</v>
      </c>
      <c r="F617" s="4">
        <v>184</v>
      </c>
      <c r="G617" s="5">
        <v>24.5</v>
      </c>
      <c r="H617" s="4">
        <v>2</v>
      </c>
    </row>
    <row r="618" spans="1:8" x14ac:dyDescent="0.2">
      <c r="A618" s="2" t="s">
        <v>58</v>
      </c>
      <c r="B618" s="4">
        <v>13</v>
      </c>
      <c r="C618" s="5">
        <v>0.68</v>
      </c>
      <c r="D618" s="4">
        <v>4</v>
      </c>
      <c r="E618" s="5">
        <v>0.36</v>
      </c>
      <c r="F618" s="4">
        <v>9</v>
      </c>
      <c r="G618" s="5">
        <v>1.2</v>
      </c>
      <c r="H618" s="4">
        <v>0</v>
      </c>
    </row>
    <row r="619" spans="1:8" x14ac:dyDescent="0.2">
      <c r="A619" s="2" t="s">
        <v>59</v>
      </c>
      <c r="B619" s="4">
        <v>104</v>
      </c>
      <c r="C619" s="5">
        <v>5.43</v>
      </c>
      <c r="D619" s="4">
        <v>41</v>
      </c>
      <c r="E619" s="5">
        <v>3.7</v>
      </c>
      <c r="F619" s="4">
        <v>62</v>
      </c>
      <c r="G619" s="5">
        <v>8.26</v>
      </c>
      <c r="H619" s="4">
        <v>0</v>
      </c>
    </row>
    <row r="620" spans="1:8" x14ac:dyDescent="0.2">
      <c r="A620" s="2" t="s">
        <v>60</v>
      </c>
      <c r="B620" s="4">
        <v>65</v>
      </c>
      <c r="C620" s="5">
        <v>3.39</v>
      </c>
      <c r="D620" s="4">
        <v>37</v>
      </c>
      <c r="E620" s="5">
        <v>3.34</v>
      </c>
      <c r="F620" s="4">
        <v>27</v>
      </c>
      <c r="G620" s="5">
        <v>3.6</v>
      </c>
      <c r="H620" s="4">
        <v>0</v>
      </c>
    </row>
    <row r="621" spans="1:8" x14ac:dyDescent="0.2">
      <c r="A621" s="2" t="s">
        <v>61</v>
      </c>
      <c r="B621" s="4">
        <v>139</v>
      </c>
      <c r="C621" s="5">
        <v>7.26</v>
      </c>
      <c r="D621" s="4">
        <v>115</v>
      </c>
      <c r="E621" s="5">
        <v>10.39</v>
      </c>
      <c r="F621" s="4">
        <v>23</v>
      </c>
      <c r="G621" s="5">
        <v>3.06</v>
      </c>
      <c r="H621" s="4">
        <v>1</v>
      </c>
    </row>
    <row r="622" spans="1:8" x14ac:dyDescent="0.2">
      <c r="A622" s="2" t="s">
        <v>62</v>
      </c>
      <c r="B622" s="4">
        <v>200</v>
      </c>
      <c r="C622" s="5">
        <v>10.44</v>
      </c>
      <c r="D622" s="4">
        <v>160</v>
      </c>
      <c r="E622" s="5">
        <v>14.45</v>
      </c>
      <c r="F622" s="4">
        <v>36</v>
      </c>
      <c r="G622" s="5">
        <v>4.79</v>
      </c>
      <c r="H622" s="4">
        <v>0</v>
      </c>
    </row>
    <row r="623" spans="1:8" x14ac:dyDescent="0.2">
      <c r="A623" s="2" t="s">
        <v>63</v>
      </c>
      <c r="B623" s="4">
        <v>92</v>
      </c>
      <c r="C623" s="5">
        <v>4.8</v>
      </c>
      <c r="D623" s="4">
        <v>67</v>
      </c>
      <c r="E623" s="5">
        <v>6.05</v>
      </c>
      <c r="F623" s="4">
        <v>16</v>
      </c>
      <c r="G623" s="5">
        <v>2.13</v>
      </c>
      <c r="H623" s="4">
        <v>1</v>
      </c>
    </row>
    <row r="624" spans="1:8" x14ac:dyDescent="0.2">
      <c r="A624" s="2" t="s">
        <v>64</v>
      </c>
      <c r="B624" s="4">
        <v>88</v>
      </c>
      <c r="C624" s="5">
        <v>4.5999999999999996</v>
      </c>
      <c r="D624" s="4">
        <v>31</v>
      </c>
      <c r="E624" s="5">
        <v>2.8</v>
      </c>
      <c r="F624" s="4">
        <v>30</v>
      </c>
      <c r="G624" s="5">
        <v>3.99</v>
      </c>
      <c r="H624" s="4">
        <v>0</v>
      </c>
    </row>
    <row r="625" spans="1:8" x14ac:dyDescent="0.2">
      <c r="A625" s="2" t="s">
        <v>65</v>
      </c>
      <c r="B625" s="4">
        <v>66</v>
      </c>
      <c r="C625" s="5">
        <v>3.45</v>
      </c>
      <c r="D625" s="4">
        <v>20</v>
      </c>
      <c r="E625" s="5">
        <v>1.81</v>
      </c>
      <c r="F625" s="4">
        <v>35</v>
      </c>
      <c r="G625" s="5">
        <v>4.66</v>
      </c>
      <c r="H625" s="4">
        <v>7</v>
      </c>
    </row>
    <row r="626" spans="1:8" x14ac:dyDescent="0.2">
      <c r="A626" s="1" t="s">
        <v>39</v>
      </c>
      <c r="B626" s="4">
        <v>313</v>
      </c>
      <c r="C626" s="5">
        <v>99.990000000000023</v>
      </c>
      <c r="D626" s="4">
        <v>120</v>
      </c>
      <c r="E626" s="5">
        <v>100</v>
      </c>
      <c r="F626" s="4">
        <v>189</v>
      </c>
      <c r="G626" s="5">
        <v>100.01</v>
      </c>
      <c r="H626" s="4">
        <v>0</v>
      </c>
    </row>
    <row r="627" spans="1:8" x14ac:dyDescent="0.2">
      <c r="A627" s="2" t="s">
        <v>51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52</v>
      </c>
      <c r="B628" s="4">
        <v>74</v>
      </c>
      <c r="C628" s="5">
        <v>23.64</v>
      </c>
      <c r="D628" s="4">
        <v>25</v>
      </c>
      <c r="E628" s="5">
        <v>20.83</v>
      </c>
      <c r="F628" s="4">
        <v>49</v>
      </c>
      <c r="G628" s="5">
        <v>25.93</v>
      </c>
      <c r="H628" s="4">
        <v>0</v>
      </c>
    </row>
    <row r="629" spans="1:8" x14ac:dyDescent="0.2">
      <c r="A629" s="2" t="s">
        <v>53</v>
      </c>
      <c r="B629" s="4">
        <v>24</v>
      </c>
      <c r="C629" s="5">
        <v>7.67</v>
      </c>
      <c r="D629" s="4">
        <v>4</v>
      </c>
      <c r="E629" s="5">
        <v>3.33</v>
      </c>
      <c r="F629" s="4">
        <v>20</v>
      </c>
      <c r="G629" s="5">
        <v>10.58</v>
      </c>
      <c r="H629" s="4">
        <v>0</v>
      </c>
    </row>
    <row r="630" spans="1:8" x14ac:dyDescent="0.2">
      <c r="A630" s="2" t="s">
        <v>54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2">
      <c r="A631" s="2" t="s">
        <v>55</v>
      </c>
      <c r="B631" s="4">
        <v>3</v>
      </c>
      <c r="C631" s="5">
        <v>0.96</v>
      </c>
      <c r="D631" s="4">
        <v>0</v>
      </c>
      <c r="E631" s="5">
        <v>0</v>
      </c>
      <c r="F631" s="4">
        <v>3</v>
      </c>
      <c r="G631" s="5">
        <v>1.59</v>
      </c>
      <c r="H631" s="4">
        <v>0</v>
      </c>
    </row>
    <row r="632" spans="1:8" x14ac:dyDescent="0.2">
      <c r="A632" s="2" t="s">
        <v>56</v>
      </c>
      <c r="B632" s="4">
        <v>3</v>
      </c>
      <c r="C632" s="5">
        <v>0.96</v>
      </c>
      <c r="D632" s="4">
        <v>1</v>
      </c>
      <c r="E632" s="5">
        <v>0.83</v>
      </c>
      <c r="F632" s="4">
        <v>2</v>
      </c>
      <c r="G632" s="5">
        <v>1.06</v>
      </c>
      <c r="H632" s="4">
        <v>0</v>
      </c>
    </row>
    <row r="633" spans="1:8" x14ac:dyDescent="0.2">
      <c r="A633" s="2" t="s">
        <v>57</v>
      </c>
      <c r="B633" s="4">
        <v>54</v>
      </c>
      <c r="C633" s="5">
        <v>17.25</v>
      </c>
      <c r="D633" s="4">
        <v>23</v>
      </c>
      <c r="E633" s="5">
        <v>19.170000000000002</v>
      </c>
      <c r="F633" s="4">
        <v>31</v>
      </c>
      <c r="G633" s="5">
        <v>16.399999999999999</v>
      </c>
      <c r="H633" s="4">
        <v>0</v>
      </c>
    </row>
    <row r="634" spans="1:8" x14ac:dyDescent="0.2">
      <c r="A634" s="2" t="s">
        <v>58</v>
      </c>
      <c r="B634" s="4">
        <v>1</v>
      </c>
      <c r="C634" s="5">
        <v>0.32</v>
      </c>
      <c r="D634" s="4">
        <v>0</v>
      </c>
      <c r="E634" s="5">
        <v>0</v>
      </c>
      <c r="F634" s="4">
        <v>1</v>
      </c>
      <c r="G634" s="5">
        <v>0.53</v>
      </c>
      <c r="H634" s="4">
        <v>0</v>
      </c>
    </row>
    <row r="635" spans="1:8" x14ac:dyDescent="0.2">
      <c r="A635" s="2" t="s">
        <v>59</v>
      </c>
      <c r="B635" s="4">
        <v>12</v>
      </c>
      <c r="C635" s="5">
        <v>3.83</v>
      </c>
      <c r="D635" s="4">
        <v>1</v>
      </c>
      <c r="E635" s="5">
        <v>0.83</v>
      </c>
      <c r="F635" s="4">
        <v>11</v>
      </c>
      <c r="G635" s="5">
        <v>5.82</v>
      </c>
      <c r="H635" s="4">
        <v>0</v>
      </c>
    </row>
    <row r="636" spans="1:8" x14ac:dyDescent="0.2">
      <c r="A636" s="2" t="s">
        <v>60</v>
      </c>
      <c r="B636" s="4">
        <v>21</v>
      </c>
      <c r="C636" s="5">
        <v>6.71</v>
      </c>
      <c r="D636" s="4">
        <v>10</v>
      </c>
      <c r="E636" s="5">
        <v>8.33</v>
      </c>
      <c r="F636" s="4">
        <v>11</v>
      </c>
      <c r="G636" s="5">
        <v>5.82</v>
      </c>
      <c r="H636" s="4">
        <v>0</v>
      </c>
    </row>
    <row r="637" spans="1:8" x14ac:dyDescent="0.2">
      <c r="A637" s="2" t="s">
        <v>61</v>
      </c>
      <c r="B637" s="4">
        <v>34</v>
      </c>
      <c r="C637" s="5">
        <v>10.86</v>
      </c>
      <c r="D637" s="4">
        <v>20</v>
      </c>
      <c r="E637" s="5">
        <v>16.670000000000002</v>
      </c>
      <c r="F637" s="4">
        <v>14</v>
      </c>
      <c r="G637" s="5">
        <v>7.41</v>
      </c>
      <c r="H637" s="4">
        <v>0</v>
      </c>
    </row>
    <row r="638" spans="1:8" x14ac:dyDescent="0.2">
      <c r="A638" s="2" t="s">
        <v>62</v>
      </c>
      <c r="B638" s="4">
        <v>37</v>
      </c>
      <c r="C638" s="5">
        <v>11.82</v>
      </c>
      <c r="D638" s="4">
        <v>20</v>
      </c>
      <c r="E638" s="5">
        <v>16.670000000000002</v>
      </c>
      <c r="F638" s="4">
        <v>16</v>
      </c>
      <c r="G638" s="5">
        <v>8.4700000000000006</v>
      </c>
      <c r="H638" s="4">
        <v>0</v>
      </c>
    </row>
    <row r="639" spans="1:8" x14ac:dyDescent="0.2">
      <c r="A639" s="2" t="s">
        <v>63</v>
      </c>
      <c r="B639" s="4">
        <v>17</v>
      </c>
      <c r="C639" s="5">
        <v>5.43</v>
      </c>
      <c r="D639" s="4">
        <v>5</v>
      </c>
      <c r="E639" s="5">
        <v>4.17</v>
      </c>
      <c r="F639" s="4">
        <v>9</v>
      </c>
      <c r="G639" s="5">
        <v>4.76</v>
      </c>
      <c r="H639" s="4">
        <v>0</v>
      </c>
    </row>
    <row r="640" spans="1:8" x14ac:dyDescent="0.2">
      <c r="A640" s="2" t="s">
        <v>64</v>
      </c>
      <c r="B640" s="4">
        <v>13</v>
      </c>
      <c r="C640" s="5">
        <v>4.1500000000000004</v>
      </c>
      <c r="D640" s="4">
        <v>6</v>
      </c>
      <c r="E640" s="5">
        <v>5</v>
      </c>
      <c r="F640" s="4">
        <v>7</v>
      </c>
      <c r="G640" s="5">
        <v>3.7</v>
      </c>
      <c r="H640" s="4">
        <v>0</v>
      </c>
    </row>
    <row r="641" spans="1:8" x14ac:dyDescent="0.2">
      <c r="A641" s="2" t="s">
        <v>65</v>
      </c>
      <c r="B641" s="4">
        <v>20</v>
      </c>
      <c r="C641" s="5">
        <v>6.39</v>
      </c>
      <c r="D641" s="4">
        <v>5</v>
      </c>
      <c r="E641" s="5">
        <v>4.17</v>
      </c>
      <c r="F641" s="4">
        <v>15</v>
      </c>
      <c r="G641" s="5">
        <v>7.94</v>
      </c>
      <c r="H641" s="4">
        <v>0</v>
      </c>
    </row>
    <row r="642" spans="1:8" x14ac:dyDescent="0.2">
      <c r="A642" s="1" t="s">
        <v>40</v>
      </c>
      <c r="B642" s="4">
        <v>704</v>
      </c>
      <c r="C642" s="5">
        <v>100.01000000000002</v>
      </c>
      <c r="D642" s="4">
        <v>480</v>
      </c>
      <c r="E642" s="5">
        <v>100.02999999999997</v>
      </c>
      <c r="F642" s="4">
        <v>222</v>
      </c>
      <c r="G642" s="5">
        <v>99.97999999999999</v>
      </c>
      <c r="H642" s="4">
        <v>0</v>
      </c>
    </row>
    <row r="643" spans="1:8" x14ac:dyDescent="0.2">
      <c r="A643" s="2" t="s">
        <v>51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52</v>
      </c>
      <c r="B644" s="4">
        <v>141</v>
      </c>
      <c r="C644" s="5">
        <v>20.03</v>
      </c>
      <c r="D644" s="4">
        <v>100</v>
      </c>
      <c r="E644" s="5">
        <v>20.83</v>
      </c>
      <c r="F644" s="4">
        <v>41</v>
      </c>
      <c r="G644" s="5">
        <v>18.47</v>
      </c>
      <c r="H644" s="4">
        <v>0</v>
      </c>
    </row>
    <row r="645" spans="1:8" x14ac:dyDescent="0.2">
      <c r="A645" s="2" t="s">
        <v>53</v>
      </c>
      <c r="B645" s="4">
        <v>236</v>
      </c>
      <c r="C645" s="5">
        <v>33.520000000000003</v>
      </c>
      <c r="D645" s="4">
        <v>141</v>
      </c>
      <c r="E645" s="5">
        <v>29.38</v>
      </c>
      <c r="F645" s="4">
        <v>95</v>
      </c>
      <c r="G645" s="5">
        <v>42.79</v>
      </c>
      <c r="H645" s="4">
        <v>0</v>
      </c>
    </row>
    <row r="646" spans="1:8" x14ac:dyDescent="0.2">
      <c r="A646" s="2" t="s">
        <v>54</v>
      </c>
      <c r="B646" s="4">
        <v>3</v>
      </c>
      <c r="C646" s="5">
        <v>0.43</v>
      </c>
      <c r="D646" s="4">
        <v>0</v>
      </c>
      <c r="E646" s="5">
        <v>0</v>
      </c>
      <c r="F646" s="4">
        <v>3</v>
      </c>
      <c r="G646" s="5">
        <v>1.35</v>
      </c>
      <c r="H646" s="4">
        <v>0</v>
      </c>
    </row>
    <row r="647" spans="1:8" x14ac:dyDescent="0.2">
      <c r="A647" s="2" t="s">
        <v>55</v>
      </c>
      <c r="B647" s="4">
        <v>0</v>
      </c>
      <c r="C647" s="5">
        <v>0</v>
      </c>
      <c r="D647" s="4">
        <v>0</v>
      </c>
      <c r="E647" s="5">
        <v>0</v>
      </c>
      <c r="F647" s="4">
        <v>0</v>
      </c>
      <c r="G647" s="5">
        <v>0</v>
      </c>
      <c r="H647" s="4">
        <v>0</v>
      </c>
    </row>
    <row r="648" spans="1:8" x14ac:dyDescent="0.2">
      <c r="A648" s="2" t="s">
        <v>56</v>
      </c>
      <c r="B648" s="4">
        <v>7</v>
      </c>
      <c r="C648" s="5">
        <v>0.99</v>
      </c>
      <c r="D648" s="4">
        <v>3</v>
      </c>
      <c r="E648" s="5">
        <v>0.63</v>
      </c>
      <c r="F648" s="4">
        <v>4</v>
      </c>
      <c r="G648" s="5">
        <v>1.8</v>
      </c>
      <c r="H648" s="4">
        <v>0</v>
      </c>
    </row>
    <row r="649" spans="1:8" x14ac:dyDescent="0.2">
      <c r="A649" s="2" t="s">
        <v>57</v>
      </c>
      <c r="B649" s="4">
        <v>131</v>
      </c>
      <c r="C649" s="5">
        <v>18.61</v>
      </c>
      <c r="D649" s="4">
        <v>91</v>
      </c>
      <c r="E649" s="5">
        <v>18.96</v>
      </c>
      <c r="F649" s="4">
        <v>40</v>
      </c>
      <c r="G649" s="5">
        <v>18.02</v>
      </c>
      <c r="H649" s="4">
        <v>0</v>
      </c>
    </row>
    <row r="650" spans="1:8" x14ac:dyDescent="0.2">
      <c r="A650" s="2" t="s">
        <v>58</v>
      </c>
      <c r="B650" s="4">
        <v>3</v>
      </c>
      <c r="C650" s="5">
        <v>0.43</v>
      </c>
      <c r="D650" s="4">
        <v>1</v>
      </c>
      <c r="E650" s="5">
        <v>0.21</v>
      </c>
      <c r="F650" s="4">
        <v>2</v>
      </c>
      <c r="G650" s="5">
        <v>0.9</v>
      </c>
      <c r="H650" s="4">
        <v>0</v>
      </c>
    </row>
    <row r="651" spans="1:8" x14ac:dyDescent="0.2">
      <c r="A651" s="2" t="s">
        <v>59</v>
      </c>
      <c r="B651" s="4">
        <v>11</v>
      </c>
      <c r="C651" s="5">
        <v>1.56</v>
      </c>
      <c r="D651" s="4">
        <v>3</v>
      </c>
      <c r="E651" s="5">
        <v>0.63</v>
      </c>
      <c r="F651" s="4">
        <v>8</v>
      </c>
      <c r="G651" s="5">
        <v>3.6</v>
      </c>
      <c r="H651" s="4">
        <v>0</v>
      </c>
    </row>
    <row r="652" spans="1:8" x14ac:dyDescent="0.2">
      <c r="A652" s="2" t="s">
        <v>60</v>
      </c>
      <c r="B652" s="4">
        <v>22</v>
      </c>
      <c r="C652" s="5">
        <v>3.13</v>
      </c>
      <c r="D652" s="4">
        <v>18</v>
      </c>
      <c r="E652" s="5">
        <v>3.75</v>
      </c>
      <c r="F652" s="4">
        <v>4</v>
      </c>
      <c r="G652" s="5">
        <v>1.8</v>
      </c>
      <c r="H652" s="4">
        <v>0</v>
      </c>
    </row>
    <row r="653" spans="1:8" x14ac:dyDescent="0.2">
      <c r="A653" s="2" t="s">
        <v>61</v>
      </c>
      <c r="B653" s="4">
        <v>39</v>
      </c>
      <c r="C653" s="5">
        <v>5.54</v>
      </c>
      <c r="D653" s="4">
        <v>37</v>
      </c>
      <c r="E653" s="5">
        <v>7.71</v>
      </c>
      <c r="F653" s="4">
        <v>1</v>
      </c>
      <c r="G653" s="5">
        <v>0.45</v>
      </c>
      <c r="H653" s="4">
        <v>0</v>
      </c>
    </row>
    <row r="654" spans="1:8" x14ac:dyDescent="0.2">
      <c r="A654" s="2" t="s">
        <v>62</v>
      </c>
      <c r="B654" s="4">
        <v>57</v>
      </c>
      <c r="C654" s="5">
        <v>8.1</v>
      </c>
      <c r="D654" s="4">
        <v>53</v>
      </c>
      <c r="E654" s="5">
        <v>11.04</v>
      </c>
      <c r="F654" s="4">
        <v>4</v>
      </c>
      <c r="G654" s="5">
        <v>1.8</v>
      </c>
      <c r="H654" s="4">
        <v>0</v>
      </c>
    </row>
    <row r="655" spans="1:8" x14ac:dyDescent="0.2">
      <c r="A655" s="2" t="s">
        <v>63</v>
      </c>
      <c r="B655" s="4">
        <v>11</v>
      </c>
      <c r="C655" s="5">
        <v>1.56</v>
      </c>
      <c r="D655" s="4">
        <v>9</v>
      </c>
      <c r="E655" s="5">
        <v>1.88</v>
      </c>
      <c r="F655" s="4">
        <v>2</v>
      </c>
      <c r="G655" s="5">
        <v>0.9</v>
      </c>
      <c r="H655" s="4">
        <v>0</v>
      </c>
    </row>
    <row r="656" spans="1:8" x14ac:dyDescent="0.2">
      <c r="A656" s="2" t="s">
        <v>64</v>
      </c>
      <c r="B656" s="4">
        <v>19</v>
      </c>
      <c r="C656" s="5">
        <v>2.7</v>
      </c>
      <c r="D656" s="4">
        <v>9</v>
      </c>
      <c r="E656" s="5">
        <v>1.88</v>
      </c>
      <c r="F656" s="4">
        <v>10</v>
      </c>
      <c r="G656" s="5">
        <v>4.5</v>
      </c>
      <c r="H656" s="4">
        <v>0</v>
      </c>
    </row>
    <row r="657" spans="1:8" x14ac:dyDescent="0.2">
      <c r="A657" s="2" t="s">
        <v>65</v>
      </c>
      <c r="B657" s="4">
        <v>24</v>
      </c>
      <c r="C657" s="5">
        <v>3.41</v>
      </c>
      <c r="D657" s="4">
        <v>15</v>
      </c>
      <c r="E657" s="5">
        <v>3.13</v>
      </c>
      <c r="F657" s="4">
        <v>8</v>
      </c>
      <c r="G657" s="5">
        <v>3.6</v>
      </c>
      <c r="H657" s="4">
        <v>0</v>
      </c>
    </row>
    <row r="658" spans="1:8" x14ac:dyDescent="0.2">
      <c r="A658" s="1" t="s">
        <v>41</v>
      </c>
      <c r="B658" s="4">
        <v>632</v>
      </c>
      <c r="C658" s="5">
        <v>100.00999999999999</v>
      </c>
      <c r="D658" s="4">
        <v>279</v>
      </c>
      <c r="E658" s="5">
        <v>100</v>
      </c>
      <c r="F658" s="4">
        <v>344</v>
      </c>
      <c r="G658" s="5">
        <v>99.99</v>
      </c>
      <c r="H658" s="4">
        <v>0</v>
      </c>
    </row>
    <row r="659" spans="1:8" x14ac:dyDescent="0.2">
      <c r="A659" s="2" t="s">
        <v>51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52</v>
      </c>
      <c r="B660" s="4">
        <v>120</v>
      </c>
      <c r="C660" s="5">
        <v>18.989999999999998</v>
      </c>
      <c r="D660" s="4">
        <v>32</v>
      </c>
      <c r="E660" s="5">
        <v>11.47</v>
      </c>
      <c r="F660" s="4">
        <v>88</v>
      </c>
      <c r="G660" s="5">
        <v>25.58</v>
      </c>
      <c r="H660" s="4">
        <v>0</v>
      </c>
    </row>
    <row r="661" spans="1:8" x14ac:dyDescent="0.2">
      <c r="A661" s="2" t="s">
        <v>53</v>
      </c>
      <c r="B661" s="4">
        <v>143</v>
      </c>
      <c r="C661" s="5">
        <v>22.63</v>
      </c>
      <c r="D661" s="4">
        <v>39</v>
      </c>
      <c r="E661" s="5">
        <v>13.98</v>
      </c>
      <c r="F661" s="4">
        <v>104</v>
      </c>
      <c r="G661" s="5">
        <v>30.23</v>
      </c>
      <c r="H661" s="4">
        <v>0</v>
      </c>
    </row>
    <row r="662" spans="1:8" x14ac:dyDescent="0.2">
      <c r="A662" s="2" t="s">
        <v>54</v>
      </c>
      <c r="B662" s="4">
        <v>4</v>
      </c>
      <c r="C662" s="5">
        <v>0.63</v>
      </c>
      <c r="D662" s="4">
        <v>0</v>
      </c>
      <c r="E662" s="5">
        <v>0</v>
      </c>
      <c r="F662" s="4">
        <v>3</v>
      </c>
      <c r="G662" s="5">
        <v>0.87</v>
      </c>
      <c r="H662" s="4">
        <v>0</v>
      </c>
    </row>
    <row r="663" spans="1:8" x14ac:dyDescent="0.2">
      <c r="A663" s="2" t="s">
        <v>55</v>
      </c>
      <c r="B663" s="4">
        <v>1</v>
      </c>
      <c r="C663" s="5">
        <v>0.16</v>
      </c>
      <c r="D663" s="4">
        <v>0</v>
      </c>
      <c r="E663" s="5">
        <v>0</v>
      </c>
      <c r="F663" s="4">
        <v>1</v>
      </c>
      <c r="G663" s="5">
        <v>0.28999999999999998</v>
      </c>
      <c r="H663" s="4">
        <v>0</v>
      </c>
    </row>
    <row r="664" spans="1:8" x14ac:dyDescent="0.2">
      <c r="A664" s="2" t="s">
        <v>56</v>
      </c>
      <c r="B664" s="4">
        <v>13</v>
      </c>
      <c r="C664" s="5">
        <v>2.06</v>
      </c>
      <c r="D664" s="4">
        <v>0</v>
      </c>
      <c r="E664" s="5">
        <v>0</v>
      </c>
      <c r="F664" s="4">
        <v>13</v>
      </c>
      <c r="G664" s="5">
        <v>3.78</v>
      </c>
      <c r="H664" s="4">
        <v>0</v>
      </c>
    </row>
    <row r="665" spans="1:8" x14ac:dyDescent="0.2">
      <c r="A665" s="2" t="s">
        <v>57</v>
      </c>
      <c r="B665" s="4">
        <v>104</v>
      </c>
      <c r="C665" s="5">
        <v>16.46</v>
      </c>
      <c r="D665" s="4">
        <v>55</v>
      </c>
      <c r="E665" s="5">
        <v>19.71</v>
      </c>
      <c r="F665" s="4">
        <v>49</v>
      </c>
      <c r="G665" s="5">
        <v>14.24</v>
      </c>
      <c r="H665" s="4">
        <v>0</v>
      </c>
    </row>
    <row r="666" spans="1:8" x14ac:dyDescent="0.2">
      <c r="A666" s="2" t="s">
        <v>58</v>
      </c>
      <c r="B666" s="4">
        <v>2</v>
      </c>
      <c r="C666" s="5">
        <v>0.32</v>
      </c>
      <c r="D666" s="4">
        <v>2</v>
      </c>
      <c r="E666" s="5">
        <v>0.72</v>
      </c>
      <c r="F666" s="4">
        <v>0</v>
      </c>
      <c r="G666" s="5">
        <v>0</v>
      </c>
      <c r="H666" s="4">
        <v>0</v>
      </c>
    </row>
    <row r="667" spans="1:8" x14ac:dyDescent="0.2">
      <c r="A667" s="2" t="s">
        <v>59</v>
      </c>
      <c r="B667" s="4">
        <v>39</v>
      </c>
      <c r="C667" s="5">
        <v>6.17</v>
      </c>
      <c r="D667" s="4">
        <v>11</v>
      </c>
      <c r="E667" s="5">
        <v>3.94</v>
      </c>
      <c r="F667" s="4">
        <v>28</v>
      </c>
      <c r="G667" s="5">
        <v>8.14</v>
      </c>
      <c r="H667" s="4">
        <v>0</v>
      </c>
    </row>
    <row r="668" spans="1:8" x14ac:dyDescent="0.2">
      <c r="A668" s="2" t="s">
        <v>60</v>
      </c>
      <c r="B668" s="4">
        <v>32</v>
      </c>
      <c r="C668" s="5">
        <v>5.0599999999999996</v>
      </c>
      <c r="D668" s="4">
        <v>17</v>
      </c>
      <c r="E668" s="5">
        <v>6.09</v>
      </c>
      <c r="F668" s="4">
        <v>15</v>
      </c>
      <c r="G668" s="5">
        <v>4.3600000000000003</v>
      </c>
      <c r="H668" s="4">
        <v>0</v>
      </c>
    </row>
    <row r="669" spans="1:8" x14ac:dyDescent="0.2">
      <c r="A669" s="2" t="s">
        <v>61</v>
      </c>
      <c r="B669" s="4">
        <v>43</v>
      </c>
      <c r="C669" s="5">
        <v>6.8</v>
      </c>
      <c r="D669" s="4">
        <v>39</v>
      </c>
      <c r="E669" s="5">
        <v>13.98</v>
      </c>
      <c r="F669" s="4">
        <v>4</v>
      </c>
      <c r="G669" s="5">
        <v>1.1599999999999999</v>
      </c>
      <c r="H669" s="4">
        <v>0</v>
      </c>
    </row>
    <row r="670" spans="1:8" x14ac:dyDescent="0.2">
      <c r="A670" s="2" t="s">
        <v>62</v>
      </c>
      <c r="B670" s="4">
        <v>51</v>
      </c>
      <c r="C670" s="5">
        <v>8.07</v>
      </c>
      <c r="D670" s="4">
        <v>40</v>
      </c>
      <c r="E670" s="5">
        <v>14.34</v>
      </c>
      <c r="F670" s="4">
        <v>11</v>
      </c>
      <c r="G670" s="5">
        <v>3.2</v>
      </c>
      <c r="H670" s="4">
        <v>0</v>
      </c>
    </row>
    <row r="671" spans="1:8" x14ac:dyDescent="0.2">
      <c r="A671" s="2" t="s">
        <v>63</v>
      </c>
      <c r="B671" s="4">
        <v>22</v>
      </c>
      <c r="C671" s="5">
        <v>3.48</v>
      </c>
      <c r="D671" s="4">
        <v>16</v>
      </c>
      <c r="E671" s="5">
        <v>5.73</v>
      </c>
      <c r="F671" s="4">
        <v>4</v>
      </c>
      <c r="G671" s="5">
        <v>1.1599999999999999</v>
      </c>
      <c r="H671" s="4">
        <v>0</v>
      </c>
    </row>
    <row r="672" spans="1:8" x14ac:dyDescent="0.2">
      <c r="A672" s="2" t="s">
        <v>64</v>
      </c>
      <c r="B672" s="4">
        <v>25</v>
      </c>
      <c r="C672" s="5">
        <v>3.96</v>
      </c>
      <c r="D672" s="4">
        <v>13</v>
      </c>
      <c r="E672" s="5">
        <v>4.66</v>
      </c>
      <c r="F672" s="4">
        <v>8</v>
      </c>
      <c r="G672" s="5">
        <v>2.33</v>
      </c>
      <c r="H672" s="4">
        <v>0</v>
      </c>
    </row>
    <row r="673" spans="1:8" x14ac:dyDescent="0.2">
      <c r="A673" s="2" t="s">
        <v>65</v>
      </c>
      <c r="B673" s="4">
        <v>33</v>
      </c>
      <c r="C673" s="5">
        <v>5.22</v>
      </c>
      <c r="D673" s="4">
        <v>15</v>
      </c>
      <c r="E673" s="5">
        <v>5.38</v>
      </c>
      <c r="F673" s="4">
        <v>16</v>
      </c>
      <c r="G673" s="5">
        <v>4.6500000000000004</v>
      </c>
      <c r="H673" s="4">
        <v>0</v>
      </c>
    </row>
    <row r="674" spans="1:8" x14ac:dyDescent="0.2">
      <c r="A674" s="1" t="s">
        <v>42</v>
      </c>
      <c r="B674" s="4">
        <v>557</v>
      </c>
      <c r="C674" s="5">
        <v>100.01</v>
      </c>
      <c r="D674" s="4">
        <v>314</v>
      </c>
      <c r="E674" s="5">
        <v>100.01000000000002</v>
      </c>
      <c r="F674" s="4">
        <v>239</v>
      </c>
      <c r="G674" s="5">
        <v>100.01</v>
      </c>
      <c r="H674" s="4">
        <v>2</v>
      </c>
    </row>
    <row r="675" spans="1:8" x14ac:dyDescent="0.2">
      <c r="A675" s="2" t="s">
        <v>51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52</v>
      </c>
      <c r="B676" s="4">
        <v>83</v>
      </c>
      <c r="C676" s="5">
        <v>14.9</v>
      </c>
      <c r="D676" s="4">
        <v>20</v>
      </c>
      <c r="E676" s="5">
        <v>6.37</v>
      </c>
      <c r="F676" s="4">
        <v>63</v>
      </c>
      <c r="G676" s="5">
        <v>26.36</v>
      </c>
      <c r="H676" s="4">
        <v>0</v>
      </c>
    </row>
    <row r="677" spans="1:8" x14ac:dyDescent="0.2">
      <c r="A677" s="2" t="s">
        <v>53</v>
      </c>
      <c r="B677" s="4">
        <v>51</v>
      </c>
      <c r="C677" s="5">
        <v>9.16</v>
      </c>
      <c r="D677" s="4">
        <v>14</v>
      </c>
      <c r="E677" s="5">
        <v>4.46</v>
      </c>
      <c r="F677" s="4">
        <v>37</v>
      </c>
      <c r="G677" s="5">
        <v>15.48</v>
      </c>
      <c r="H677" s="4">
        <v>0</v>
      </c>
    </row>
    <row r="678" spans="1:8" x14ac:dyDescent="0.2">
      <c r="A678" s="2" t="s">
        <v>54</v>
      </c>
      <c r="B678" s="4">
        <v>0</v>
      </c>
      <c r="C678" s="5">
        <v>0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2">
      <c r="A679" s="2" t="s">
        <v>55</v>
      </c>
      <c r="B679" s="4">
        <v>1</v>
      </c>
      <c r="C679" s="5">
        <v>0.18</v>
      </c>
      <c r="D679" s="4">
        <v>0</v>
      </c>
      <c r="E679" s="5">
        <v>0</v>
      </c>
      <c r="F679" s="4">
        <v>1</v>
      </c>
      <c r="G679" s="5">
        <v>0.42</v>
      </c>
      <c r="H679" s="4">
        <v>0</v>
      </c>
    </row>
    <row r="680" spans="1:8" x14ac:dyDescent="0.2">
      <c r="A680" s="2" t="s">
        <v>56</v>
      </c>
      <c r="B680" s="4">
        <v>9</v>
      </c>
      <c r="C680" s="5">
        <v>1.62</v>
      </c>
      <c r="D680" s="4">
        <v>2</v>
      </c>
      <c r="E680" s="5">
        <v>0.64</v>
      </c>
      <c r="F680" s="4">
        <v>7</v>
      </c>
      <c r="G680" s="5">
        <v>2.93</v>
      </c>
      <c r="H680" s="4">
        <v>0</v>
      </c>
    </row>
    <row r="681" spans="1:8" x14ac:dyDescent="0.2">
      <c r="A681" s="2" t="s">
        <v>57</v>
      </c>
      <c r="B681" s="4">
        <v>95</v>
      </c>
      <c r="C681" s="5">
        <v>17.059999999999999</v>
      </c>
      <c r="D681" s="4">
        <v>54</v>
      </c>
      <c r="E681" s="5">
        <v>17.2</v>
      </c>
      <c r="F681" s="4">
        <v>41</v>
      </c>
      <c r="G681" s="5">
        <v>17.149999999999999</v>
      </c>
      <c r="H681" s="4">
        <v>0</v>
      </c>
    </row>
    <row r="682" spans="1:8" x14ac:dyDescent="0.2">
      <c r="A682" s="2" t="s">
        <v>58</v>
      </c>
      <c r="B682" s="4">
        <v>4</v>
      </c>
      <c r="C682" s="5">
        <v>0.72</v>
      </c>
      <c r="D682" s="4">
        <v>2</v>
      </c>
      <c r="E682" s="5">
        <v>0.64</v>
      </c>
      <c r="F682" s="4">
        <v>2</v>
      </c>
      <c r="G682" s="5">
        <v>0.84</v>
      </c>
      <c r="H682" s="4">
        <v>0</v>
      </c>
    </row>
    <row r="683" spans="1:8" x14ac:dyDescent="0.2">
      <c r="A683" s="2" t="s">
        <v>59</v>
      </c>
      <c r="B683" s="4">
        <v>46</v>
      </c>
      <c r="C683" s="5">
        <v>8.26</v>
      </c>
      <c r="D683" s="4">
        <v>13</v>
      </c>
      <c r="E683" s="5">
        <v>4.1399999999999997</v>
      </c>
      <c r="F683" s="4">
        <v>33</v>
      </c>
      <c r="G683" s="5">
        <v>13.81</v>
      </c>
      <c r="H683" s="4">
        <v>0</v>
      </c>
    </row>
    <row r="684" spans="1:8" x14ac:dyDescent="0.2">
      <c r="A684" s="2" t="s">
        <v>60</v>
      </c>
      <c r="B684" s="4">
        <v>23</v>
      </c>
      <c r="C684" s="5">
        <v>4.13</v>
      </c>
      <c r="D684" s="4">
        <v>15</v>
      </c>
      <c r="E684" s="5">
        <v>4.78</v>
      </c>
      <c r="F684" s="4">
        <v>8</v>
      </c>
      <c r="G684" s="5">
        <v>3.35</v>
      </c>
      <c r="H684" s="4">
        <v>0</v>
      </c>
    </row>
    <row r="685" spans="1:8" x14ac:dyDescent="0.2">
      <c r="A685" s="2" t="s">
        <v>61</v>
      </c>
      <c r="B685" s="4">
        <v>68</v>
      </c>
      <c r="C685" s="5">
        <v>12.21</v>
      </c>
      <c r="D685" s="4">
        <v>63</v>
      </c>
      <c r="E685" s="5">
        <v>20.059999999999999</v>
      </c>
      <c r="F685" s="4">
        <v>5</v>
      </c>
      <c r="G685" s="5">
        <v>2.09</v>
      </c>
      <c r="H685" s="4">
        <v>0</v>
      </c>
    </row>
    <row r="686" spans="1:8" x14ac:dyDescent="0.2">
      <c r="A686" s="2" t="s">
        <v>62</v>
      </c>
      <c r="B686" s="4">
        <v>94</v>
      </c>
      <c r="C686" s="5">
        <v>16.88</v>
      </c>
      <c r="D686" s="4">
        <v>80</v>
      </c>
      <c r="E686" s="5">
        <v>25.48</v>
      </c>
      <c r="F686" s="4">
        <v>13</v>
      </c>
      <c r="G686" s="5">
        <v>5.44</v>
      </c>
      <c r="H686" s="4">
        <v>1</v>
      </c>
    </row>
    <row r="687" spans="1:8" x14ac:dyDescent="0.2">
      <c r="A687" s="2" t="s">
        <v>63</v>
      </c>
      <c r="B687" s="4">
        <v>35</v>
      </c>
      <c r="C687" s="5">
        <v>6.28</v>
      </c>
      <c r="D687" s="4">
        <v>28</v>
      </c>
      <c r="E687" s="5">
        <v>8.92</v>
      </c>
      <c r="F687" s="4">
        <v>7</v>
      </c>
      <c r="G687" s="5">
        <v>2.93</v>
      </c>
      <c r="H687" s="4">
        <v>0</v>
      </c>
    </row>
    <row r="688" spans="1:8" x14ac:dyDescent="0.2">
      <c r="A688" s="2" t="s">
        <v>64</v>
      </c>
      <c r="B688" s="4">
        <v>33</v>
      </c>
      <c r="C688" s="5">
        <v>5.92</v>
      </c>
      <c r="D688" s="4">
        <v>18</v>
      </c>
      <c r="E688" s="5">
        <v>5.73</v>
      </c>
      <c r="F688" s="4">
        <v>13</v>
      </c>
      <c r="G688" s="5">
        <v>5.44</v>
      </c>
      <c r="H688" s="4">
        <v>0</v>
      </c>
    </row>
    <row r="689" spans="1:8" x14ac:dyDescent="0.2">
      <c r="A689" s="2" t="s">
        <v>65</v>
      </c>
      <c r="B689" s="4">
        <v>15</v>
      </c>
      <c r="C689" s="5">
        <v>2.69</v>
      </c>
      <c r="D689" s="4">
        <v>5</v>
      </c>
      <c r="E689" s="5">
        <v>1.59</v>
      </c>
      <c r="F689" s="4">
        <v>9</v>
      </c>
      <c r="G689" s="5">
        <v>3.77</v>
      </c>
      <c r="H689" s="4">
        <v>1</v>
      </c>
    </row>
    <row r="690" spans="1:8" x14ac:dyDescent="0.2">
      <c r="A690" s="1" t="s">
        <v>43</v>
      </c>
      <c r="B690" s="4">
        <v>299</v>
      </c>
      <c r="C690" s="5">
        <v>99.990000000000023</v>
      </c>
      <c r="D690" s="4">
        <v>216</v>
      </c>
      <c r="E690" s="5">
        <v>99.990000000000009</v>
      </c>
      <c r="F690" s="4">
        <v>78</v>
      </c>
      <c r="G690" s="5">
        <v>99.99</v>
      </c>
      <c r="H690" s="4">
        <v>2</v>
      </c>
    </row>
    <row r="691" spans="1:8" x14ac:dyDescent="0.2">
      <c r="A691" s="2" t="s">
        <v>51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2">
      <c r="A692" s="2" t="s">
        <v>52</v>
      </c>
      <c r="B692" s="4">
        <v>68</v>
      </c>
      <c r="C692" s="5">
        <v>22.74</v>
      </c>
      <c r="D692" s="4">
        <v>50</v>
      </c>
      <c r="E692" s="5">
        <v>23.15</v>
      </c>
      <c r="F692" s="4">
        <v>18</v>
      </c>
      <c r="G692" s="5">
        <v>23.08</v>
      </c>
      <c r="H692" s="4">
        <v>0</v>
      </c>
    </row>
    <row r="693" spans="1:8" x14ac:dyDescent="0.2">
      <c r="A693" s="2" t="s">
        <v>53</v>
      </c>
      <c r="B693" s="4">
        <v>72</v>
      </c>
      <c r="C693" s="5">
        <v>24.08</v>
      </c>
      <c r="D693" s="4">
        <v>41</v>
      </c>
      <c r="E693" s="5">
        <v>18.98</v>
      </c>
      <c r="F693" s="4">
        <v>31</v>
      </c>
      <c r="G693" s="5">
        <v>39.74</v>
      </c>
      <c r="H693" s="4">
        <v>0</v>
      </c>
    </row>
    <row r="694" spans="1:8" x14ac:dyDescent="0.2">
      <c r="A694" s="2" t="s">
        <v>54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2">
      <c r="A695" s="2" t="s">
        <v>55</v>
      </c>
      <c r="B695" s="4">
        <v>0</v>
      </c>
      <c r="C695" s="5">
        <v>0</v>
      </c>
      <c r="D695" s="4">
        <v>0</v>
      </c>
      <c r="E695" s="5">
        <v>0</v>
      </c>
      <c r="F695" s="4">
        <v>0</v>
      </c>
      <c r="G695" s="5">
        <v>0</v>
      </c>
      <c r="H695" s="4">
        <v>0</v>
      </c>
    </row>
    <row r="696" spans="1:8" x14ac:dyDescent="0.2">
      <c r="A696" s="2" t="s">
        <v>56</v>
      </c>
      <c r="B696" s="4">
        <v>4</v>
      </c>
      <c r="C696" s="5">
        <v>1.34</v>
      </c>
      <c r="D696" s="4">
        <v>1</v>
      </c>
      <c r="E696" s="5">
        <v>0.46</v>
      </c>
      <c r="F696" s="4">
        <v>2</v>
      </c>
      <c r="G696" s="5">
        <v>2.56</v>
      </c>
      <c r="H696" s="4">
        <v>1</v>
      </c>
    </row>
    <row r="697" spans="1:8" x14ac:dyDescent="0.2">
      <c r="A697" s="2" t="s">
        <v>57</v>
      </c>
      <c r="B697" s="4">
        <v>58</v>
      </c>
      <c r="C697" s="5">
        <v>19.399999999999999</v>
      </c>
      <c r="D697" s="4">
        <v>44</v>
      </c>
      <c r="E697" s="5">
        <v>20.37</v>
      </c>
      <c r="F697" s="4">
        <v>14</v>
      </c>
      <c r="G697" s="5">
        <v>17.95</v>
      </c>
      <c r="H697" s="4">
        <v>0</v>
      </c>
    </row>
    <row r="698" spans="1:8" x14ac:dyDescent="0.2">
      <c r="A698" s="2" t="s">
        <v>58</v>
      </c>
      <c r="B698" s="4">
        <v>1</v>
      </c>
      <c r="C698" s="5">
        <v>0.33</v>
      </c>
      <c r="D698" s="4">
        <v>1</v>
      </c>
      <c r="E698" s="5">
        <v>0.46</v>
      </c>
      <c r="F698" s="4">
        <v>0</v>
      </c>
      <c r="G698" s="5">
        <v>0</v>
      </c>
      <c r="H698" s="4">
        <v>0</v>
      </c>
    </row>
    <row r="699" spans="1:8" x14ac:dyDescent="0.2">
      <c r="A699" s="2" t="s">
        <v>59</v>
      </c>
      <c r="B699" s="4">
        <v>6</v>
      </c>
      <c r="C699" s="5">
        <v>2.0099999999999998</v>
      </c>
      <c r="D699" s="4">
        <v>4</v>
      </c>
      <c r="E699" s="5">
        <v>1.85</v>
      </c>
      <c r="F699" s="4">
        <v>1</v>
      </c>
      <c r="G699" s="5">
        <v>1.28</v>
      </c>
      <c r="H699" s="4">
        <v>1</v>
      </c>
    </row>
    <row r="700" spans="1:8" x14ac:dyDescent="0.2">
      <c r="A700" s="2" t="s">
        <v>60</v>
      </c>
      <c r="B700" s="4">
        <v>12</v>
      </c>
      <c r="C700" s="5">
        <v>4.01</v>
      </c>
      <c r="D700" s="4">
        <v>8</v>
      </c>
      <c r="E700" s="5">
        <v>3.7</v>
      </c>
      <c r="F700" s="4">
        <v>4</v>
      </c>
      <c r="G700" s="5">
        <v>5.13</v>
      </c>
      <c r="H700" s="4">
        <v>0</v>
      </c>
    </row>
    <row r="701" spans="1:8" x14ac:dyDescent="0.2">
      <c r="A701" s="2" t="s">
        <v>61</v>
      </c>
      <c r="B701" s="4">
        <v>20</v>
      </c>
      <c r="C701" s="5">
        <v>6.69</v>
      </c>
      <c r="D701" s="4">
        <v>19</v>
      </c>
      <c r="E701" s="5">
        <v>8.8000000000000007</v>
      </c>
      <c r="F701" s="4">
        <v>1</v>
      </c>
      <c r="G701" s="5">
        <v>1.28</v>
      </c>
      <c r="H701" s="4">
        <v>0</v>
      </c>
    </row>
    <row r="702" spans="1:8" x14ac:dyDescent="0.2">
      <c r="A702" s="2" t="s">
        <v>62</v>
      </c>
      <c r="B702" s="4">
        <v>29</v>
      </c>
      <c r="C702" s="5">
        <v>9.6999999999999993</v>
      </c>
      <c r="D702" s="4">
        <v>23</v>
      </c>
      <c r="E702" s="5">
        <v>10.65</v>
      </c>
      <c r="F702" s="4">
        <v>5</v>
      </c>
      <c r="G702" s="5">
        <v>6.41</v>
      </c>
      <c r="H702" s="4">
        <v>0</v>
      </c>
    </row>
    <row r="703" spans="1:8" x14ac:dyDescent="0.2">
      <c r="A703" s="2" t="s">
        <v>63</v>
      </c>
      <c r="B703" s="4">
        <v>10</v>
      </c>
      <c r="C703" s="5">
        <v>3.34</v>
      </c>
      <c r="D703" s="4">
        <v>9</v>
      </c>
      <c r="E703" s="5">
        <v>4.17</v>
      </c>
      <c r="F703" s="4">
        <v>0</v>
      </c>
      <c r="G703" s="5">
        <v>0</v>
      </c>
      <c r="H703" s="4">
        <v>0</v>
      </c>
    </row>
    <row r="704" spans="1:8" x14ac:dyDescent="0.2">
      <c r="A704" s="2" t="s">
        <v>64</v>
      </c>
      <c r="B704" s="4">
        <v>9</v>
      </c>
      <c r="C704" s="5">
        <v>3.01</v>
      </c>
      <c r="D704" s="4">
        <v>8</v>
      </c>
      <c r="E704" s="5">
        <v>3.7</v>
      </c>
      <c r="F704" s="4">
        <v>0</v>
      </c>
      <c r="G704" s="5">
        <v>0</v>
      </c>
      <c r="H704" s="4">
        <v>0</v>
      </c>
    </row>
    <row r="705" spans="1:8" x14ac:dyDescent="0.2">
      <c r="A705" s="2" t="s">
        <v>65</v>
      </c>
      <c r="B705" s="4">
        <v>10</v>
      </c>
      <c r="C705" s="5">
        <v>3.34</v>
      </c>
      <c r="D705" s="4">
        <v>8</v>
      </c>
      <c r="E705" s="5">
        <v>3.7</v>
      </c>
      <c r="F705" s="4">
        <v>2</v>
      </c>
      <c r="G705" s="5">
        <v>2.56</v>
      </c>
      <c r="H705" s="4">
        <v>0</v>
      </c>
    </row>
    <row r="706" spans="1:8" x14ac:dyDescent="0.2">
      <c r="A706" s="1" t="s">
        <v>44</v>
      </c>
      <c r="B706" s="4">
        <v>510</v>
      </c>
      <c r="C706" s="5">
        <v>100</v>
      </c>
      <c r="D706" s="4">
        <v>294</v>
      </c>
      <c r="E706" s="5">
        <v>99.98</v>
      </c>
      <c r="F706" s="4">
        <v>206</v>
      </c>
      <c r="G706" s="5">
        <v>99.989999999999981</v>
      </c>
      <c r="H706" s="4">
        <v>0</v>
      </c>
    </row>
    <row r="707" spans="1:8" x14ac:dyDescent="0.2">
      <c r="A707" s="2" t="s">
        <v>51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2">
      <c r="A708" s="2" t="s">
        <v>52</v>
      </c>
      <c r="B708" s="4">
        <v>70</v>
      </c>
      <c r="C708" s="5">
        <v>13.73</v>
      </c>
      <c r="D708" s="4">
        <v>27</v>
      </c>
      <c r="E708" s="5">
        <v>9.18</v>
      </c>
      <c r="F708" s="4">
        <v>43</v>
      </c>
      <c r="G708" s="5">
        <v>20.87</v>
      </c>
      <c r="H708" s="4">
        <v>0</v>
      </c>
    </row>
    <row r="709" spans="1:8" x14ac:dyDescent="0.2">
      <c r="A709" s="2" t="s">
        <v>53</v>
      </c>
      <c r="B709" s="4">
        <v>68</v>
      </c>
      <c r="C709" s="5">
        <v>13.33</v>
      </c>
      <c r="D709" s="4">
        <v>35</v>
      </c>
      <c r="E709" s="5">
        <v>11.9</v>
      </c>
      <c r="F709" s="4">
        <v>33</v>
      </c>
      <c r="G709" s="5">
        <v>16.02</v>
      </c>
      <c r="H709" s="4">
        <v>0</v>
      </c>
    </row>
    <row r="710" spans="1:8" x14ac:dyDescent="0.2">
      <c r="A710" s="2" t="s">
        <v>54</v>
      </c>
      <c r="B710" s="4">
        <v>1</v>
      </c>
      <c r="C710" s="5">
        <v>0.2</v>
      </c>
      <c r="D710" s="4">
        <v>0</v>
      </c>
      <c r="E710" s="5">
        <v>0</v>
      </c>
      <c r="F710" s="4">
        <v>0</v>
      </c>
      <c r="G710" s="5">
        <v>0</v>
      </c>
      <c r="H710" s="4">
        <v>0</v>
      </c>
    </row>
    <row r="711" spans="1:8" x14ac:dyDescent="0.2">
      <c r="A711" s="2" t="s">
        <v>55</v>
      </c>
      <c r="B711" s="4">
        <v>4</v>
      </c>
      <c r="C711" s="5">
        <v>0.78</v>
      </c>
      <c r="D711" s="4">
        <v>0</v>
      </c>
      <c r="E711" s="5">
        <v>0</v>
      </c>
      <c r="F711" s="4">
        <v>4</v>
      </c>
      <c r="G711" s="5">
        <v>1.94</v>
      </c>
      <c r="H711" s="4">
        <v>0</v>
      </c>
    </row>
    <row r="712" spans="1:8" x14ac:dyDescent="0.2">
      <c r="A712" s="2" t="s">
        <v>56</v>
      </c>
      <c r="B712" s="4">
        <v>7</v>
      </c>
      <c r="C712" s="5">
        <v>1.37</v>
      </c>
      <c r="D712" s="4">
        <v>0</v>
      </c>
      <c r="E712" s="5">
        <v>0</v>
      </c>
      <c r="F712" s="4">
        <v>7</v>
      </c>
      <c r="G712" s="5">
        <v>3.4</v>
      </c>
      <c r="H712" s="4">
        <v>0</v>
      </c>
    </row>
    <row r="713" spans="1:8" x14ac:dyDescent="0.2">
      <c r="A713" s="2" t="s">
        <v>57</v>
      </c>
      <c r="B713" s="4">
        <v>119</v>
      </c>
      <c r="C713" s="5">
        <v>23.33</v>
      </c>
      <c r="D713" s="4">
        <v>66</v>
      </c>
      <c r="E713" s="5">
        <v>22.45</v>
      </c>
      <c r="F713" s="4">
        <v>53</v>
      </c>
      <c r="G713" s="5">
        <v>25.73</v>
      </c>
      <c r="H713" s="4">
        <v>0</v>
      </c>
    </row>
    <row r="714" spans="1:8" x14ac:dyDescent="0.2">
      <c r="A714" s="2" t="s">
        <v>58</v>
      </c>
      <c r="B714" s="4">
        <v>2</v>
      </c>
      <c r="C714" s="5">
        <v>0.39</v>
      </c>
      <c r="D714" s="4">
        <v>0</v>
      </c>
      <c r="E714" s="5">
        <v>0</v>
      </c>
      <c r="F714" s="4">
        <v>2</v>
      </c>
      <c r="G714" s="5">
        <v>0.97</v>
      </c>
      <c r="H714" s="4">
        <v>0</v>
      </c>
    </row>
    <row r="715" spans="1:8" x14ac:dyDescent="0.2">
      <c r="A715" s="2" t="s">
        <v>59</v>
      </c>
      <c r="B715" s="4">
        <v>39</v>
      </c>
      <c r="C715" s="5">
        <v>7.65</v>
      </c>
      <c r="D715" s="4">
        <v>21</v>
      </c>
      <c r="E715" s="5">
        <v>7.14</v>
      </c>
      <c r="F715" s="4">
        <v>18</v>
      </c>
      <c r="G715" s="5">
        <v>8.74</v>
      </c>
      <c r="H715" s="4">
        <v>0</v>
      </c>
    </row>
    <row r="716" spans="1:8" x14ac:dyDescent="0.2">
      <c r="A716" s="2" t="s">
        <v>60</v>
      </c>
      <c r="B716" s="4">
        <v>15</v>
      </c>
      <c r="C716" s="5">
        <v>2.94</v>
      </c>
      <c r="D716" s="4">
        <v>9</v>
      </c>
      <c r="E716" s="5">
        <v>3.06</v>
      </c>
      <c r="F716" s="4">
        <v>6</v>
      </c>
      <c r="G716" s="5">
        <v>2.91</v>
      </c>
      <c r="H716" s="4">
        <v>0</v>
      </c>
    </row>
    <row r="717" spans="1:8" x14ac:dyDescent="0.2">
      <c r="A717" s="2" t="s">
        <v>61</v>
      </c>
      <c r="B717" s="4">
        <v>44</v>
      </c>
      <c r="C717" s="5">
        <v>8.6300000000000008</v>
      </c>
      <c r="D717" s="4">
        <v>33</v>
      </c>
      <c r="E717" s="5">
        <v>11.22</v>
      </c>
      <c r="F717" s="4">
        <v>11</v>
      </c>
      <c r="G717" s="5">
        <v>5.34</v>
      </c>
      <c r="H717" s="4">
        <v>0</v>
      </c>
    </row>
    <row r="718" spans="1:8" x14ac:dyDescent="0.2">
      <c r="A718" s="2" t="s">
        <v>62</v>
      </c>
      <c r="B718" s="4">
        <v>65</v>
      </c>
      <c r="C718" s="5">
        <v>12.75</v>
      </c>
      <c r="D718" s="4">
        <v>56</v>
      </c>
      <c r="E718" s="5">
        <v>19.05</v>
      </c>
      <c r="F718" s="4">
        <v>8</v>
      </c>
      <c r="G718" s="5">
        <v>3.88</v>
      </c>
      <c r="H718" s="4">
        <v>0</v>
      </c>
    </row>
    <row r="719" spans="1:8" x14ac:dyDescent="0.2">
      <c r="A719" s="2" t="s">
        <v>63</v>
      </c>
      <c r="B719" s="4">
        <v>35</v>
      </c>
      <c r="C719" s="5">
        <v>6.86</v>
      </c>
      <c r="D719" s="4">
        <v>21</v>
      </c>
      <c r="E719" s="5">
        <v>7.14</v>
      </c>
      <c r="F719" s="4">
        <v>8</v>
      </c>
      <c r="G719" s="5">
        <v>3.88</v>
      </c>
      <c r="H719" s="4">
        <v>0</v>
      </c>
    </row>
    <row r="720" spans="1:8" x14ac:dyDescent="0.2">
      <c r="A720" s="2" t="s">
        <v>64</v>
      </c>
      <c r="B720" s="4">
        <v>16</v>
      </c>
      <c r="C720" s="5">
        <v>3.14</v>
      </c>
      <c r="D720" s="4">
        <v>14</v>
      </c>
      <c r="E720" s="5">
        <v>4.76</v>
      </c>
      <c r="F720" s="4">
        <v>2</v>
      </c>
      <c r="G720" s="5">
        <v>0.97</v>
      </c>
      <c r="H720" s="4">
        <v>0</v>
      </c>
    </row>
    <row r="721" spans="1:8" x14ac:dyDescent="0.2">
      <c r="A721" s="2" t="s">
        <v>65</v>
      </c>
      <c r="B721" s="4">
        <v>25</v>
      </c>
      <c r="C721" s="5">
        <v>4.9000000000000004</v>
      </c>
      <c r="D721" s="4">
        <v>12</v>
      </c>
      <c r="E721" s="5">
        <v>4.08</v>
      </c>
      <c r="F721" s="4">
        <v>11</v>
      </c>
      <c r="G721" s="5">
        <v>5.34</v>
      </c>
      <c r="H721" s="4">
        <v>0</v>
      </c>
    </row>
    <row r="722" spans="1:8" x14ac:dyDescent="0.2">
      <c r="A722" s="1" t="s">
        <v>45</v>
      </c>
      <c r="B722" s="4">
        <v>346</v>
      </c>
      <c r="C722" s="5">
        <v>100.00000000000001</v>
      </c>
      <c r="D722" s="4">
        <v>245</v>
      </c>
      <c r="E722" s="5">
        <v>99.999999999999986</v>
      </c>
      <c r="F722" s="4">
        <v>94</v>
      </c>
      <c r="G722" s="5">
        <v>100</v>
      </c>
      <c r="H722" s="4">
        <v>2</v>
      </c>
    </row>
    <row r="723" spans="1:8" x14ac:dyDescent="0.2">
      <c r="A723" s="2" t="s">
        <v>51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2">
      <c r="A724" s="2" t="s">
        <v>52</v>
      </c>
      <c r="B724" s="4">
        <v>78</v>
      </c>
      <c r="C724" s="5">
        <v>22.54</v>
      </c>
      <c r="D724" s="4">
        <v>49</v>
      </c>
      <c r="E724" s="5">
        <v>20</v>
      </c>
      <c r="F724" s="4">
        <v>29</v>
      </c>
      <c r="G724" s="5">
        <v>30.85</v>
      </c>
      <c r="H724" s="4">
        <v>0</v>
      </c>
    </row>
    <row r="725" spans="1:8" x14ac:dyDescent="0.2">
      <c r="A725" s="2" t="s">
        <v>53</v>
      </c>
      <c r="B725" s="4">
        <v>28</v>
      </c>
      <c r="C725" s="5">
        <v>8.09</v>
      </c>
      <c r="D725" s="4">
        <v>15</v>
      </c>
      <c r="E725" s="5">
        <v>6.12</v>
      </c>
      <c r="F725" s="4">
        <v>13</v>
      </c>
      <c r="G725" s="5">
        <v>13.83</v>
      </c>
      <c r="H725" s="4">
        <v>0</v>
      </c>
    </row>
    <row r="726" spans="1:8" x14ac:dyDescent="0.2">
      <c r="A726" s="2" t="s">
        <v>54</v>
      </c>
      <c r="B726" s="4">
        <v>2</v>
      </c>
      <c r="C726" s="5">
        <v>0.57999999999999996</v>
      </c>
      <c r="D726" s="4">
        <v>0</v>
      </c>
      <c r="E726" s="5">
        <v>0</v>
      </c>
      <c r="F726" s="4">
        <v>2</v>
      </c>
      <c r="G726" s="5">
        <v>2.13</v>
      </c>
      <c r="H726" s="4">
        <v>0</v>
      </c>
    </row>
    <row r="727" spans="1:8" x14ac:dyDescent="0.2">
      <c r="A727" s="2" t="s">
        <v>55</v>
      </c>
      <c r="B727" s="4">
        <v>0</v>
      </c>
      <c r="C727" s="5">
        <v>0</v>
      </c>
      <c r="D727" s="4">
        <v>0</v>
      </c>
      <c r="E727" s="5">
        <v>0</v>
      </c>
      <c r="F727" s="4">
        <v>0</v>
      </c>
      <c r="G727" s="5">
        <v>0</v>
      </c>
      <c r="H727" s="4">
        <v>0</v>
      </c>
    </row>
    <row r="728" spans="1:8" x14ac:dyDescent="0.2">
      <c r="A728" s="2" t="s">
        <v>56</v>
      </c>
      <c r="B728" s="4">
        <v>3</v>
      </c>
      <c r="C728" s="5">
        <v>0.87</v>
      </c>
      <c r="D728" s="4">
        <v>0</v>
      </c>
      <c r="E728" s="5">
        <v>0</v>
      </c>
      <c r="F728" s="4">
        <v>3</v>
      </c>
      <c r="G728" s="5">
        <v>3.19</v>
      </c>
      <c r="H728" s="4">
        <v>0</v>
      </c>
    </row>
    <row r="729" spans="1:8" x14ac:dyDescent="0.2">
      <c r="A729" s="2" t="s">
        <v>57</v>
      </c>
      <c r="B729" s="4">
        <v>77</v>
      </c>
      <c r="C729" s="5">
        <v>22.25</v>
      </c>
      <c r="D729" s="4">
        <v>55</v>
      </c>
      <c r="E729" s="5">
        <v>22.45</v>
      </c>
      <c r="F729" s="4">
        <v>22</v>
      </c>
      <c r="G729" s="5">
        <v>23.4</v>
      </c>
      <c r="H729" s="4">
        <v>0</v>
      </c>
    </row>
    <row r="730" spans="1:8" x14ac:dyDescent="0.2">
      <c r="A730" s="2" t="s">
        <v>58</v>
      </c>
      <c r="B730" s="4">
        <v>0</v>
      </c>
      <c r="C730" s="5">
        <v>0</v>
      </c>
      <c r="D730" s="4">
        <v>0</v>
      </c>
      <c r="E730" s="5">
        <v>0</v>
      </c>
      <c r="F730" s="4">
        <v>0</v>
      </c>
      <c r="G730" s="5">
        <v>0</v>
      </c>
      <c r="H730" s="4">
        <v>0</v>
      </c>
    </row>
    <row r="731" spans="1:8" x14ac:dyDescent="0.2">
      <c r="A731" s="2" t="s">
        <v>59</v>
      </c>
      <c r="B731" s="4">
        <v>11</v>
      </c>
      <c r="C731" s="5">
        <v>3.18</v>
      </c>
      <c r="D731" s="4">
        <v>7</v>
      </c>
      <c r="E731" s="5">
        <v>2.86</v>
      </c>
      <c r="F731" s="4">
        <v>4</v>
      </c>
      <c r="G731" s="5">
        <v>4.26</v>
      </c>
      <c r="H731" s="4">
        <v>0</v>
      </c>
    </row>
    <row r="732" spans="1:8" x14ac:dyDescent="0.2">
      <c r="A732" s="2" t="s">
        <v>60</v>
      </c>
      <c r="B732" s="4">
        <v>11</v>
      </c>
      <c r="C732" s="5">
        <v>3.18</v>
      </c>
      <c r="D732" s="4">
        <v>8</v>
      </c>
      <c r="E732" s="5">
        <v>3.27</v>
      </c>
      <c r="F732" s="4">
        <v>3</v>
      </c>
      <c r="G732" s="5">
        <v>3.19</v>
      </c>
      <c r="H732" s="4">
        <v>0</v>
      </c>
    </row>
    <row r="733" spans="1:8" x14ac:dyDescent="0.2">
      <c r="A733" s="2" t="s">
        <v>61</v>
      </c>
      <c r="B733" s="4">
        <v>50</v>
      </c>
      <c r="C733" s="5">
        <v>14.45</v>
      </c>
      <c r="D733" s="4">
        <v>47</v>
      </c>
      <c r="E733" s="5">
        <v>19.18</v>
      </c>
      <c r="F733" s="4">
        <v>2</v>
      </c>
      <c r="G733" s="5">
        <v>2.13</v>
      </c>
      <c r="H733" s="4">
        <v>1</v>
      </c>
    </row>
    <row r="734" spans="1:8" x14ac:dyDescent="0.2">
      <c r="A734" s="2" t="s">
        <v>62</v>
      </c>
      <c r="B734" s="4">
        <v>36</v>
      </c>
      <c r="C734" s="5">
        <v>10.4</v>
      </c>
      <c r="D734" s="4">
        <v>33</v>
      </c>
      <c r="E734" s="5">
        <v>13.47</v>
      </c>
      <c r="F734" s="4">
        <v>2</v>
      </c>
      <c r="G734" s="5">
        <v>2.13</v>
      </c>
      <c r="H734" s="4">
        <v>0</v>
      </c>
    </row>
    <row r="735" spans="1:8" x14ac:dyDescent="0.2">
      <c r="A735" s="2" t="s">
        <v>63</v>
      </c>
      <c r="B735" s="4">
        <v>15</v>
      </c>
      <c r="C735" s="5">
        <v>4.34</v>
      </c>
      <c r="D735" s="4">
        <v>13</v>
      </c>
      <c r="E735" s="5">
        <v>5.31</v>
      </c>
      <c r="F735" s="4">
        <v>0</v>
      </c>
      <c r="G735" s="5">
        <v>0</v>
      </c>
      <c r="H735" s="4">
        <v>0</v>
      </c>
    </row>
    <row r="736" spans="1:8" x14ac:dyDescent="0.2">
      <c r="A736" s="2" t="s">
        <v>64</v>
      </c>
      <c r="B736" s="4">
        <v>11</v>
      </c>
      <c r="C736" s="5">
        <v>3.18</v>
      </c>
      <c r="D736" s="4">
        <v>4</v>
      </c>
      <c r="E736" s="5">
        <v>1.63</v>
      </c>
      <c r="F736" s="4">
        <v>6</v>
      </c>
      <c r="G736" s="5">
        <v>6.38</v>
      </c>
      <c r="H736" s="4">
        <v>0</v>
      </c>
    </row>
    <row r="737" spans="1:8" x14ac:dyDescent="0.2">
      <c r="A737" s="2" t="s">
        <v>65</v>
      </c>
      <c r="B737" s="4">
        <v>24</v>
      </c>
      <c r="C737" s="5">
        <v>6.94</v>
      </c>
      <c r="D737" s="4">
        <v>14</v>
      </c>
      <c r="E737" s="5">
        <v>5.71</v>
      </c>
      <c r="F737" s="4">
        <v>8</v>
      </c>
      <c r="G737" s="5">
        <v>8.51</v>
      </c>
      <c r="H737" s="4">
        <v>1</v>
      </c>
    </row>
    <row r="738" spans="1:8" x14ac:dyDescent="0.2">
      <c r="A738" s="1" t="s">
        <v>46</v>
      </c>
      <c r="B738" s="4">
        <v>741</v>
      </c>
      <c r="C738" s="5">
        <v>99.990000000000009</v>
      </c>
      <c r="D738" s="4">
        <v>452</v>
      </c>
      <c r="E738" s="5">
        <v>99.990000000000009</v>
      </c>
      <c r="F738" s="4">
        <v>279</v>
      </c>
      <c r="G738" s="5">
        <v>99.989999999999981</v>
      </c>
      <c r="H738" s="4">
        <v>0</v>
      </c>
    </row>
    <row r="739" spans="1:8" x14ac:dyDescent="0.2">
      <c r="A739" s="2" t="s">
        <v>51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2">
      <c r="A740" s="2" t="s">
        <v>52</v>
      </c>
      <c r="B740" s="4">
        <v>149</v>
      </c>
      <c r="C740" s="5">
        <v>20.11</v>
      </c>
      <c r="D740" s="4">
        <v>62</v>
      </c>
      <c r="E740" s="5">
        <v>13.72</v>
      </c>
      <c r="F740" s="4">
        <v>87</v>
      </c>
      <c r="G740" s="5">
        <v>31.18</v>
      </c>
      <c r="H740" s="4">
        <v>0</v>
      </c>
    </row>
    <row r="741" spans="1:8" x14ac:dyDescent="0.2">
      <c r="A741" s="2" t="s">
        <v>53</v>
      </c>
      <c r="B741" s="4">
        <v>52</v>
      </c>
      <c r="C741" s="5">
        <v>7.02</v>
      </c>
      <c r="D741" s="4">
        <v>21</v>
      </c>
      <c r="E741" s="5">
        <v>4.6500000000000004</v>
      </c>
      <c r="F741" s="4">
        <v>31</v>
      </c>
      <c r="G741" s="5">
        <v>11.11</v>
      </c>
      <c r="H741" s="4">
        <v>0</v>
      </c>
    </row>
    <row r="742" spans="1:8" x14ac:dyDescent="0.2">
      <c r="A742" s="2" t="s">
        <v>54</v>
      </c>
      <c r="B742" s="4">
        <v>0</v>
      </c>
      <c r="C742" s="5">
        <v>0</v>
      </c>
      <c r="D742" s="4">
        <v>0</v>
      </c>
      <c r="E742" s="5">
        <v>0</v>
      </c>
      <c r="F742" s="4">
        <v>0</v>
      </c>
      <c r="G742" s="5">
        <v>0</v>
      </c>
      <c r="H742" s="4">
        <v>0</v>
      </c>
    </row>
    <row r="743" spans="1:8" x14ac:dyDescent="0.2">
      <c r="A743" s="2" t="s">
        <v>55</v>
      </c>
      <c r="B743" s="4">
        <v>3</v>
      </c>
      <c r="C743" s="5">
        <v>0.4</v>
      </c>
      <c r="D743" s="4">
        <v>1</v>
      </c>
      <c r="E743" s="5">
        <v>0.22</v>
      </c>
      <c r="F743" s="4">
        <v>2</v>
      </c>
      <c r="G743" s="5">
        <v>0.72</v>
      </c>
      <c r="H743" s="4">
        <v>0</v>
      </c>
    </row>
    <row r="744" spans="1:8" x14ac:dyDescent="0.2">
      <c r="A744" s="2" t="s">
        <v>56</v>
      </c>
      <c r="B744" s="4">
        <v>6</v>
      </c>
      <c r="C744" s="5">
        <v>0.81</v>
      </c>
      <c r="D744" s="4">
        <v>2</v>
      </c>
      <c r="E744" s="5">
        <v>0.44</v>
      </c>
      <c r="F744" s="4">
        <v>4</v>
      </c>
      <c r="G744" s="5">
        <v>1.43</v>
      </c>
      <c r="H744" s="4">
        <v>0</v>
      </c>
    </row>
    <row r="745" spans="1:8" x14ac:dyDescent="0.2">
      <c r="A745" s="2" t="s">
        <v>57</v>
      </c>
      <c r="B745" s="4">
        <v>142</v>
      </c>
      <c r="C745" s="5">
        <v>19.16</v>
      </c>
      <c r="D745" s="4">
        <v>84</v>
      </c>
      <c r="E745" s="5">
        <v>18.579999999999998</v>
      </c>
      <c r="F745" s="4">
        <v>58</v>
      </c>
      <c r="G745" s="5">
        <v>20.79</v>
      </c>
      <c r="H745" s="4">
        <v>0</v>
      </c>
    </row>
    <row r="746" spans="1:8" x14ac:dyDescent="0.2">
      <c r="A746" s="2" t="s">
        <v>58</v>
      </c>
      <c r="B746" s="4">
        <v>3</v>
      </c>
      <c r="C746" s="5">
        <v>0.4</v>
      </c>
      <c r="D746" s="4">
        <v>2</v>
      </c>
      <c r="E746" s="5">
        <v>0.44</v>
      </c>
      <c r="F746" s="4">
        <v>1</v>
      </c>
      <c r="G746" s="5">
        <v>0.36</v>
      </c>
      <c r="H746" s="4">
        <v>0</v>
      </c>
    </row>
    <row r="747" spans="1:8" x14ac:dyDescent="0.2">
      <c r="A747" s="2" t="s">
        <v>59</v>
      </c>
      <c r="B747" s="4">
        <v>70</v>
      </c>
      <c r="C747" s="5">
        <v>9.4499999999999993</v>
      </c>
      <c r="D747" s="4">
        <v>37</v>
      </c>
      <c r="E747" s="5">
        <v>8.19</v>
      </c>
      <c r="F747" s="4">
        <v>33</v>
      </c>
      <c r="G747" s="5">
        <v>11.83</v>
      </c>
      <c r="H747" s="4">
        <v>0</v>
      </c>
    </row>
    <row r="748" spans="1:8" x14ac:dyDescent="0.2">
      <c r="A748" s="2" t="s">
        <v>60</v>
      </c>
      <c r="B748" s="4">
        <v>32</v>
      </c>
      <c r="C748" s="5">
        <v>4.32</v>
      </c>
      <c r="D748" s="4">
        <v>22</v>
      </c>
      <c r="E748" s="5">
        <v>4.87</v>
      </c>
      <c r="F748" s="4">
        <v>10</v>
      </c>
      <c r="G748" s="5">
        <v>3.58</v>
      </c>
      <c r="H748" s="4">
        <v>0</v>
      </c>
    </row>
    <row r="749" spans="1:8" x14ac:dyDescent="0.2">
      <c r="A749" s="2" t="s">
        <v>61</v>
      </c>
      <c r="B749" s="4">
        <v>71</v>
      </c>
      <c r="C749" s="5">
        <v>9.58</v>
      </c>
      <c r="D749" s="4">
        <v>60</v>
      </c>
      <c r="E749" s="5">
        <v>13.27</v>
      </c>
      <c r="F749" s="4">
        <v>10</v>
      </c>
      <c r="G749" s="5">
        <v>3.58</v>
      </c>
      <c r="H749" s="4">
        <v>0</v>
      </c>
    </row>
    <row r="750" spans="1:8" x14ac:dyDescent="0.2">
      <c r="A750" s="2" t="s">
        <v>62</v>
      </c>
      <c r="B750" s="4">
        <v>97</v>
      </c>
      <c r="C750" s="5">
        <v>13.09</v>
      </c>
      <c r="D750" s="4">
        <v>80</v>
      </c>
      <c r="E750" s="5">
        <v>17.7</v>
      </c>
      <c r="F750" s="4">
        <v>15</v>
      </c>
      <c r="G750" s="5">
        <v>5.38</v>
      </c>
      <c r="H750" s="4">
        <v>0</v>
      </c>
    </row>
    <row r="751" spans="1:8" x14ac:dyDescent="0.2">
      <c r="A751" s="2" t="s">
        <v>63</v>
      </c>
      <c r="B751" s="4">
        <v>61</v>
      </c>
      <c r="C751" s="5">
        <v>8.23</v>
      </c>
      <c r="D751" s="4">
        <v>50</v>
      </c>
      <c r="E751" s="5">
        <v>11.06</v>
      </c>
      <c r="F751" s="4">
        <v>6</v>
      </c>
      <c r="G751" s="5">
        <v>2.15</v>
      </c>
      <c r="H751" s="4">
        <v>0</v>
      </c>
    </row>
    <row r="752" spans="1:8" x14ac:dyDescent="0.2">
      <c r="A752" s="2" t="s">
        <v>64</v>
      </c>
      <c r="B752" s="4">
        <v>34</v>
      </c>
      <c r="C752" s="5">
        <v>4.59</v>
      </c>
      <c r="D752" s="4">
        <v>20</v>
      </c>
      <c r="E752" s="5">
        <v>4.42</v>
      </c>
      <c r="F752" s="4">
        <v>12</v>
      </c>
      <c r="G752" s="5">
        <v>4.3</v>
      </c>
      <c r="H752" s="4">
        <v>0</v>
      </c>
    </row>
    <row r="753" spans="1:8" x14ac:dyDescent="0.2">
      <c r="A753" s="2" t="s">
        <v>65</v>
      </c>
      <c r="B753" s="4">
        <v>21</v>
      </c>
      <c r="C753" s="5">
        <v>2.83</v>
      </c>
      <c r="D753" s="4">
        <v>11</v>
      </c>
      <c r="E753" s="5">
        <v>2.4300000000000002</v>
      </c>
      <c r="F753" s="4">
        <v>10</v>
      </c>
      <c r="G753" s="5">
        <v>3.58</v>
      </c>
      <c r="H753" s="4">
        <v>0</v>
      </c>
    </row>
    <row r="754" spans="1:8" x14ac:dyDescent="0.2">
      <c r="A754" s="1" t="s">
        <v>47</v>
      </c>
      <c r="B754" s="4">
        <v>372</v>
      </c>
      <c r="C754" s="5">
        <v>100.00000000000001</v>
      </c>
      <c r="D754" s="4">
        <v>244</v>
      </c>
      <c r="E754" s="5">
        <v>100.01</v>
      </c>
      <c r="F754" s="4">
        <v>111</v>
      </c>
      <c r="G754" s="5">
        <v>100.01</v>
      </c>
      <c r="H754" s="4">
        <v>2</v>
      </c>
    </row>
    <row r="755" spans="1:8" x14ac:dyDescent="0.2">
      <c r="A755" s="2" t="s">
        <v>51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2">
      <c r="A756" s="2" t="s">
        <v>52</v>
      </c>
      <c r="B756" s="4">
        <v>63</v>
      </c>
      <c r="C756" s="5">
        <v>16.940000000000001</v>
      </c>
      <c r="D756" s="4">
        <v>33</v>
      </c>
      <c r="E756" s="5">
        <v>13.52</v>
      </c>
      <c r="F756" s="4">
        <v>30</v>
      </c>
      <c r="G756" s="5">
        <v>27.03</v>
      </c>
      <c r="H756" s="4">
        <v>0</v>
      </c>
    </row>
    <row r="757" spans="1:8" x14ac:dyDescent="0.2">
      <c r="A757" s="2" t="s">
        <v>53</v>
      </c>
      <c r="B757" s="4">
        <v>22</v>
      </c>
      <c r="C757" s="5">
        <v>5.91</v>
      </c>
      <c r="D757" s="4">
        <v>14</v>
      </c>
      <c r="E757" s="5">
        <v>5.74</v>
      </c>
      <c r="F757" s="4">
        <v>8</v>
      </c>
      <c r="G757" s="5">
        <v>7.21</v>
      </c>
      <c r="H757" s="4">
        <v>0</v>
      </c>
    </row>
    <row r="758" spans="1:8" x14ac:dyDescent="0.2">
      <c r="A758" s="2" t="s">
        <v>54</v>
      </c>
      <c r="B758" s="4">
        <v>0</v>
      </c>
      <c r="C758" s="5">
        <v>0</v>
      </c>
      <c r="D758" s="4">
        <v>0</v>
      </c>
      <c r="E758" s="5">
        <v>0</v>
      </c>
      <c r="F758" s="4">
        <v>0</v>
      </c>
      <c r="G758" s="5">
        <v>0</v>
      </c>
      <c r="H758" s="4">
        <v>0</v>
      </c>
    </row>
    <row r="759" spans="1:8" x14ac:dyDescent="0.2">
      <c r="A759" s="2" t="s">
        <v>55</v>
      </c>
      <c r="B759" s="4">
        <v>0</v>
      </c>
      <c r="C759" s="5">
        <v>0</v>
      </c>
      <c r="D759" s="4">
        <v>0</v>
      </c>
      <c r="E759" s="5">
        <v>0</v>
      </c>
      <c r="F759" s="4">
        <v>0</v>
      </c>
      <c r="G759" s="5">
        <v>0</v>
      </c>
      <c r="H759" s="4">
        <v>0</v>
      </c>
    </row>
    <row r="760" spans="1:8" x14ac:dyDescent="0.2">
      <c r="A760" s="2" t="s">
        <v>56</v>
      </c>
      <c r="B760" s="4">
        <v>5</v>
      </c>
      <c r="C760" s="5">
        <v>1.34</v>
      </c>
      <c r="D760" s="4">
        <v>1</v>
      </c>
      <c r="E760" s="5">
        <v>0.41</v>
      </c>
      <c r="F760" s="4">
        <v>3</v>
      </c>
      <c r="G760" s="5">
        <v>2.7</v>
      </c>
      <c r="H760" s="4">
        <v>1</v>
      </c>
    </row>
    <row r="761" spans="1:8" x14ac:dyDescent="0.2">
      <c r="A761" s="2" t="s">
        <v>57</v>
      </c>
      <c r="B761" s="4">
        <v>95</v>
      </c>
      <c r="C761" s="5">
        <v>25.54</v>
      </c>
      <c r="D761" s="4">
        <v>59</v>
      </c>
      <c r="E761" s="5">
        <v>24.18</v>
      </c>
      <c r="F761" s="4">
        <v>35</v>
      </c>
      <c r="G761" s="5">
        <v>31.53</v>
      </c>
      <c r="H761" s="4">
        <v>1</v>
      </c>
    </row>
    <row r="762" spans="1:8" x14ac:dyDescent="0.2">
      <c r="A762" s="2" t="s">
        <v>58</v>
      </c>
      <c r="B762" s="4">
        <v>1</v>
      </c>
      <c r="C762" s="5">
        <v>0.27</v>
      </c>
      <c r="D762" s="4">
        <v>0</v>
      </c>
      <c r="E762" s="5">
        <v>0</v>
      </c>
      <c r="F762" s="4">
        <v>1</v>
      </c>
      <c r="G762" s="5">
        <v>0.9</v>
      </c>
      <c r="H762" s="4">
        <v>0</v>
      </c>
    </row>
    <row r="763" spans="1:8" x14ac:dyDescent="0.2">
      <c r="A763" s="2" t="s">
        <v>59</v>
      </c>
      <c r="B763" s="4">
        <v>35</v>
      </c>
      <c r="C763" s="5">
        <v>9.41</v>
      </c>
      <c r="D763" s="4">
        <v>29</v>
      </c>
      <c r="E763" s="5">
        <v>11.89</v>
      </c>
      <c r="F763" s="4">
        <v>6</v>
      </c>
      <c r="G763" s="5">
        <v>5.41</v>
      </c>
      <c r="H763" s="4">
        <v>0</v>
      </c>
    </row>
    <row r="764" spans="1:8" x14ac:dyDescent="0.2">
      <c r="A764" s="2" t="s">
        <v>60</v>
      </c>
      <c r="B764" s="4">
        <v>17</v>
      </c>
      <c r="C764" s="5">
        <v>4.57</v>
      </c>
      <c r="D764" s="4">
        <v>10</v>
      </c>
      <c r="E764" s="5">
        <v>4.0999999999999996</v>
      </c>
      <c r="F764" s="4">
        <v>7</v>
      </c>
      <c r="G764" s="5">
        <v>6.31</v>
      </c>
      <c r="H764" s="4">
        <v>0</v>
      </c>
    </row>
    <row r="765" spans="1:8" x14ac:dyDescent="0.2">
      <c r="A765" s="2" t="s">
        <v>61</v>
      </c>
      <c r="B765" s="4">
        <v>30</v>
      </c>
      <c r="C765" s="5">
        <v>8.06</v>
      </c>
      <c r="D765" s="4">
        <v>28</v>
      </c>
      <c r="E765" s="5">
        <v>11.48</v>
      </c>
      <c r="F765" s="4">
        <v>1</v>
      </c>
      <c r="G765" s="5">
        <v>0.9</v>
      </c>
      <c r="H765" s="4">
        <v>0</v>
      </c>
    </row>
    <row r="766" spans="1:8" x14ac:dyDescent="0.2">
      <c r="A766" s="2" t="s">
        <v>62</v>
      </c>
      <c r="B766" s="4">
        <v>49</v>
      </c>
      <c r="C766" s="5">
        <v>13.17</v>
      </c>
      <c r="D766" s="4">
        <v>41</v>
      </c>
      <c r="E766" s="5">
        <v>16.8</v>
      </c>
      <c r="F766" s="4">
        <v>8</v>
      </c>
      <c r="G766" s="5">
        <v>7.21</v>
      </c>
      <c r="H766" s="4">
        <v>0</v>
      </c>
    </row>
    <row r="767" spans="1:8" x14ac:dyDescent="0.2">
      <c r="A767" s="2" t="s">
        <v>63</v>
      </c>
      <c r="B767" s="4">
        <v>27</v>
      </c>
      <c r="C767" s="5">
        <v>7.26</v>
      </c>
      <c r="D767" s="4">
        <v>15</v>
      </c>
      <c r="E767" s="5">
        <v>6.15</v>
      </c>
      <c r="F767" s="4">
        <v>1</v>
      </c>
      <c r="G767" s="5">
        <v>0.9</v>
      </c>
      <c r="H767" s="4">
        <v>0</v>
      </c>
    </row>
    <row r="768" spans="1:8" x14ac:dyDescent="0.2">
      <c r="A768" s="2" t="s">
        <v>64</v>
      </c>
      <c r="B768" s="4">
        <v>19</v>
      </c>
      <c r="C768" s="5">
        <v>5.1100000000000003</v>
      </c>
      <c r="D768" s="4">
        <v>11</v>
      </c>
      <c r="E768" s="5">
        <v>4.51</v>
      </c>
      <c r="F768" s="4">
        <v>7</v>
      </c>
      <c r="G768" s="5">
        <v>6.31</v>
      </c>
      <c r="H768" s="4">
        <v>0</v>
      </c>
    </row>
    <row r="769" spans="1:8" x14ac:dyDescent="0.2">
      <c r="A769" s="2" t="s">
        <v>65</v>
      </c>
      <c r="B769" s="4">
        <v>9</v>
      </c>
      <c r="C769" s="5">
        <v>2.42</v>
      </c>
      <c r="D769" s="4">
        <v>3</v>
      </c>
      <c r="E769" s="5">
        <v>1.23</v>
      </c>
      <c r="F769" s="4">
        <v>4</v>
      </c>
      <c r="G769" s="5">
        <v>3.6</v>
      </c>
      <c r="H769" s="4">
        <v>0</v>
      </c>
    </row>
    <row r="770" spans="1:8" x14ac:dyDescent="0.2">
      <c r="A770" s="1" t="s">
        <v>48</v>
      </c>
      <c r="B770" s="4">
        <v>572</v>
      </c>
      <c r="C770" s="5">
        <v>99.98</v>
      </c>
      <c r="D770" s="4">
        <v>387</v>
      </c>
      <c r="E770" s="5">
        <v>100.02</v>
      </c>
      <c r="F770" s="4">
        <v>175</v>
      </c>
      <c r="G770" s="5">
        <v>100</v>
      </c>
      <c r="H770" s="4">
        <v>0</v>
      </c>
    </row>
    <row r="771" spans="1:8" x14ac:dyDescent="0.2">
      <c r="A771" s="2" t="s">
        <v>51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2">
      <c r="A772" s="2" t="s">
        <v>52</v>
      </c>
      <c r="B772" s="4">
        <v>123</v>
      </c>
      <c r="C772" s="5">
        <v>21.5</v>
      </c>
      <c r="D772" s="4">
        <v>70</v>
      </c>
      <c r="E772" s="5">
        <v>18.09</v>
      </c>
      <c r="F772" s="4">
        <v>53</v>
      </c>
      <c r="G772" s="5">
        <v>30.29</v>
      </c>
      <c r="H772" s="4">
        <v>0</v>
      </c>
    </row>
    <row r="773" spans="1:8" x14ac:dyDescent="0.2">
      <c r="A773" s="2" t="s">
        <v>53</v>
      </c>
      <c r="B773" s="4">
        <v>56</v>
      </c>
      <c r="C773" s="5">
        <v>9.7899999999999991</v>
      </c>
      <c r="D773" s="4">
        <v>30</v>
      </c>
      <c r="E773" s="5">
        <v>7.75</v>
      </c>
      <c r="F773" s="4">
        <v>26</v>
      </c>
      <c r="G773" s="5">
        <v>14.86</v>
      </c>
      <c r="H773" s="4">
        <v>0</v>
      </c>
    </row>
    <row r="774" spans="1:8" x14ac:dyDescent="0.2">
      <c r="A774" s="2" t="s">
        <v>54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2">
      <c r="A775" s="2" t="s">
        <v>55</v>
      </c>
      <c r="B775" s="4">
        <v>3</v>
      </c>
      <c r="C775" s="5">
        <v>0.52</v>
      </c>
      <c r="D775" s="4">
        <v>0</v>
      </c>
      <c r="E775" s="5">
        <v>0</v>
      </c>
      <c r="F775" s="4">
        <v>3</v>
      </c>
      <c r="G775" s="5">
        <v>1.71</v>
      </c>
      <c r="H775" s="4">
        <v>0</v>
      </c>
    </row>
    <row r="776" spans="1:8" x14ac:dyDescent="0.2">
      <c r="A776" s="2" t="s">
        <v>56</v>
      </c>
      <c r="B776" s="4">
        <v>7</v>
      </c>
      <c r="C776" s="5">
        <v>1.22</v>
      </c>
      <c r="D776" s="4">
        <v>3</v>
      </c>
      <c r="E776" s="5">
        <v>0.78</v>
      </c>
      <c r="F776" s="4">
        <v>4</v>
      </c>
      <c r="G776" s="5">
        <v>2.29</v>
      </c>
      <c r="H776" s="4">
        <v>0</v>
      </c>
    </row>
    <row r="777" spans="1:8" x14ac:dyDescent="0.2">
      <c r="A777" s="2" t="s">
        <v>57</v>
      </c>
      <c r="B777" s="4">
        <v>150</v>
      </c>
      <c r="C777" s="5">
        <v>26.22</v>
      </c>
      <c r="D777" s="4">
        <v>108</v>
      </c>
      <c r="E777" s="5">
        <v>27.91</v>
      </c>
      <c r="F777" s="4">
        <v>42</v>
      </c>
      <c r="G777" s="5">
        <v>24</v>
      </c>
      <c r="H777" s="4">
        <v>0</v>
      </c>
    </row>
    <row r="778" spans="1:8" x14ac:dyDescent="0.2">
      <c r="A778" s="2" t="s">
        <v>58</v>
      </c>
      <c r="B778" s="4">
        <v>8</v>
      </c>
      <c r="C778" s="5">
        <v>1.4</v>
      </c>
      <c r="D778" s="4">
        <v>6</v>
      </c>
      <c r="E778" s="5">
        <v>1.55</v>
      </c>
      <c r="F778" s="4">
        <v>2</v>
      </c>
      <c r="G778" s="5">
        <v>1.1399999999999999</v>
      </c>
      <c r="H778" s="4">
        <v>0</v>
      </c>
    </row>
    <row r="779" spans="1:8" x14ac:dyDescent="0.2">
      <c r="A779" s="2" t="s">
        <v>59</v>
      </c>
      <c r="B779" s="4">
        <v>11</v>
      </c>
      <c r="C779" s="5">
        <v>1.92</v>
      </c>
      <c r="D779" s="4">
        <v>3</v>
      </c>
      <c r="E779" s="5">
        <v>0.78</v>
      </c>
      <c r="F779" s="4">
        <v>8</v>
      </c>
      <c r="G779" s="5">
        <v>4.57</v>
      </c>
      <c r="H779" s="4">
        <v>0</v>
      </c>
    </row>
    <row r="780" spans="1:8" x14ac:dyDescent="0.2">
      <c r="A780" s="2" t="s">
        <v>60</v>
      </c>
      <c r="B780" s="4">
        <v>26</v>
      </c>
      <c r="C780" s="5">
        <v>4.55</v>
      </c>
      <c r="D780" s="4">
        <v>15</v>
      </c>
      <c r="E780" s="5">
        <v>3.88</v>
      </c>
      <c r="F780" s="4">
        <v>10</v>
      </c>
      <c r="G780" s="5">
        <v>5.71</v>
      </c>
      <c r="H780" s="4">
        <v>0</v>
      </c>
    </row>
    <row r="781" spans="1:8" x14ac:dyDescent="0.2">
      <c r="A781" s="2" t="s">
        <v>61</v>
      </c>
      <c r="B781" s="4">
        <v>61</v>
      </c>
      <c r="C781" s="5">
        <v>10.66</v>
      </c>
      <c r="D781" s="4">
        <v>60</v>
      </c>
      <c r="E781" s="5">
        <v>15.5</v>
      </c>
      <c r="F781" s="4">
        <v>1</v>
      </c>
      <c r="G781" s="5">
        <v>0.56999999999999995</v>
      </c>
      <c r="H781" s="4">
        <v>0</v>
      </c>
    </row>
    <row r="782" spans="1:8" x14ac:dyDescent="0.2">
      <c r="A782" s="2" t="s">
        <v>62</v>
      </c>
      <c r="B782" s="4">
        <v>65</v>
      </c>
      <c r="C782" s="5">
        <v>11.36</v>
      </c>
      <c r="D782" s="4">
        <v>58</v>
      </c>
      <c r="E782" s="5">
        <v>14.99</v>
      </c>
      <c r="F782" s="4">
        <v>4</v>
      </c>
      <c r="G782" s="5">
        <v>2.29</v>
      </c>
      <c r="H782" s="4">
        <v>0</v>
      </c>
    </row>
    <row r="783" spans="1:8" x14ac:dyDescent="0.2">
      <c r="A783" s="2" t="s">
        <v>63</v>
      </c>
      <c r="B783" s="4">
        <v>15</v>
      </c>
      <c r="C783" s="5">
        <v>2.62</v>
      </c>
      <c r="D783" s="4">
        <v>11</v>
      </c>
      <c r="E783" s="5">
        <v>2.84</v>
      </c>
      <c r="F783" s="4">
        <v>3</v>
      </c>
      <c r="G783" s="5">
        <v>1.71</v>
      </c>
      <c r="H783" s="4">
        <v>0</v>
      </c>
    </row>
    <row r="784" spans="1:8" x14ac:dyDescent="0.2">
      <c r="A784" s="2" t="s">
        <v>64</v>
      </c>
      <c r="B784" s="4">
        <v>23</v>
      </c>
      <c r="C784" s="5">
        <v>4.0199999999999996</v>
      </c>
      <c r="D784" s="4">
        <v>8</v>
      </c>
      <c r="E784" s="5">
        <v>2.0699999999999998</v>
      </c>
      <c r="F784" s="4">
        <v>12</v>
      </c>
      <c r="G784" s="5">
        <v>6.86</v>
      </c>
      <c r="H784" s="4">
        <v>0</v>
      </c>
    </row>
    <row r="785" spans="1:8" x14ac:dyDescent="0.2">
      <c r="A785" s="2" t="s">
        <v>65</v>
      </c>
      <c r="B785" s="4">
        <v>24</v>
      </c>
      <c r="C785" s="5">
        <v>4.2</v>
      </c>
      <c r="D785" s="4">
        <v>15</v>
      </c>
      <c r="E785" s="5">
        <v>3.88</v>
      </c>
      <c r="F785" s="4">
        <v>7</v>
      </c>
      <c r="G785" s="5">
        <v>4</v>
      </c>
      <c r="H785" s="4">
        <v>0</v>
      </c>
    </row>
    <row r="786" spans="1:8" x14ac:dyDescent="0.2">
      <c r="A786" s="1" t="s">
        <v>49</v>
      </c>
      <c r="B786" s="4">
        <v>737</v>
      </c>
      <c r="C786" s="5">
        <v>100.01999999999998</v>
      </c>
      <c r="D786" s="4">
        <v>533</v>
      </c>
      <c r="E786" s="5">
        <v>100.02000000000001</v>
      </c>
      <c r="F786" s="4">
        <v>164</v>
      </c>
      <c r="G786" s="5">
        <v>100.00999999999998</v>
      </c>
      <c r="H786" s="4">
        <v>7</v>
      </c>
    </row>
    <row r="787" spans="1:8" x14ac:dyDescent="0.2">
      <c r="A787" s="2" t="s">
        <v>51</v>
      </c>
      <c r="B787" s="4">
        <v>1</v>
      </c>
      <c r="C787" s="5">
        <v>0.14000000000000001</v>
      </c>
      <c r="D787" s="4">
        <v>0</v>
      </c>
      <c r="E787" s="5">
        <v>0</v>
      </c>
      <c r="F787" s="4">
        <v>1</v>
      </c>
      <c r="G787" s="5">
        <v>0.61</v>
      </c>
      <c r="H787" s="4">
        <v>0</v>
      </c>
    </row>
    <row r="788" spans="1:8" x14ac:dyDescent="0.2">
      <c r="A788" s="2" t="s">
        <v>52</v>
      </c>
      <c r="B788" s="4">
        <v>118</v>
      </c>
      <c r="C788" s="5">
        <v>16.010000000000002</v>
      </c>
      <c r="D788" s="4">
        <v>95</v>
      </c>
      <c r="E788" s="5">
        <v>17.82</v>
      </c>
      <c r="F788" s="4">
        <v>23</v>
      </c>
      <c r="G788" s="5">
        <v>14.02</v>
      </c>
      <c r="H788" s="4">
        <v>0</v>
      </c>
    </row>
    <row r="789" spans="1:8" x14ac:dyDescent="0.2">
      <c r="A789" s="2" t="s">
        <v>53</v>
      </c>
      <c r="B789" s="4">
        <v>84</v>
      </c>
      <c r="C789" s="5">
        <v>11.4</v>
      </c>
      <c r="D789" s="4">
        <v>37</v>
      </c>
      <c r="E789" s="5">
        <v>6.94</v>
      </c>
      <c r="F789" s="4">
        <v>46</v>
      </c>
      <c r="G789" s="5">
        <v>28.05</v>
      </c>
      <c r="H789" s="4">
        <v>1</v>
      </c>
    </row>
    <row r="790" spans="1:8" x14ac:dyDescent="0.2">
      <c r="A790" s="2" t="s">
        <v>54</v>
      </c>
      <c r="B790" s="4">
        <v>0</v>
      </c>
      <c r="C790" s="5">
        <v>0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2">
      <c r="A791" s="2" t="s">
        <v>55</v>
      </c>
      <c r="B791" s="4">
        <v>3</v>
      </c>
      <c r="C791" s="5">
        <v>0.41</v>
      </c>
      <c r="D791" s="4">
        <v>1</v>
      </c>
      <c r="E791" s="5">
        <v>0.19</v>
      </c>
      <c r="F791" s="4">
        <v>2</v>
      </c>
      <c r="G791" s="5">
        <v>1.22</v>
      </c>
      <c r="H791" s="4">
        <v>0</v>
      </c>
    </row>
    <row r="792" spans="1:8" x14ac:dyDescent="0.2">
      <c r="A792" s="2" t="s">
        <v>56</v>
      </c>
      <c r="B792" s="4">
        <v>8</v>
      </c>
      <c r="C792" s="5">
        <v>1.0900000000000001</v>
      </c>
      <c r="D792" s="4">
        <v>1</v>
      </c>
      <c r="E792" s="5">
        <v>0.19</v>
      </c>
      <c r="F792" s="4">
        <v>4</v>
      </c>
      <c r="G792" s="5">
        <v>2.44</v>
      </c>
      <c r="H792" s="4">
        <v>3</v>
      </c>
    </row>
    <row r="793" spans="1:8" x14ac:dyDescent="0.2">
      <c r="A793" s="2" t="s">
        <v>57</v>
      </c>
      <c r="B793" s="4">
        <v>187</v>
      </c>
      <c r="C793" s="5">
        <v>25.37</v>
      </c>
      <c r="D793" s="4">
        <v>140</v>
      </c>
      <c r="E793" s="5">
        <v>26.27</v>
      </c>
      <c r="F793" s="4">
        <v>47</v>
      </c>
      <c r="G793" s="5">
        <v>28.66</v>
      </c>
      <c r="H793" s="4">
        <v>0</v>
      </c>
    </row>
    <row r="794" spans="1:8" x14ac:dyDescent="0.2">
      <c r="A794" s="2" t="s">
        <v>58</v>
      </c>
      <c r="B794" s="4">
        <v>1</v>
      </c>
      <c r="C794" s="5">
        <v>0.14000000000000001</v>
      </c>
      <c r="D794" s="4">
        <v>0</v>
      </c>
      <c r="E794" s="5">
        <v>0</v>
      </c>
      <c r="F794" s="4">
        <v>1</v>
      </c>
      <c r="G794" s="5">
        <v>0.61</v>
      </c>
      <c r="H794" s="4">
        <v>0</v>
      </c>
    </row>
    <row r="795" spans="1:8" x14ac:dyDescent="0.2">
      <c r="A795" s="2" t="s">
        <v>59</v>
      </c>
      <c r="B795" s="4">
        <v>20</v>
      </c>
      <c r="C795" s="5">
        <v>2.71</v>
      </c>
      <c r="D795" s="4">
        <v>6</v>
      </c>
      <c r="E795" s="5">
        <v>1.1299999999999999</v>
      </c>
      <c r="F795" s="4">
        <v>13</v>
      </c>
      <c r="G795" s="5">
        <v>7.93</v>
      </c>
      <c r="H795" s="4">
        <v>1</v>
      </c>
    </row>
    <row r="796" spans="1:8" x14ac:dyDescent="0.2">
      <c r="A796" s="2" t="s">
        <v>60</v>
      </c>
      <c r="B796" s="4">
        <v>22</v>
      </c>
      <c r="C796" s="5">
        <v>2.99</v>
      </c>
      <c r="D796" s="4">
        <v>19</v>
      </c>
      <c r="E796" s="5">
        <v>3.56</v>
      </c>
      <c r="F796" s="4">
        <v>2</v>
      </c>
      <c r="G796" s="5">
        <v>1.22</v>
      </c>
      <c r="H796" s="4">
        <v>0</v>
      </c>
    </row>
    <row r="797" spans="1:8" x14ac:dyDescent="0.2">
      <c r="A797" s="2" t="s">
        <v>61</v>
      </c>
      <c r="B797" s="4">
        <v>143</v>
      </c>
      <c r="C797" s="5">
        <v>19.399999999999999</v>
      </c>
      <c r="D797" s="4">
        <v>132</v>
      </c>
      <c r="E797" s="5">
        <v>24.77</v>
      </c>
      <c r="F797" s="4">
        <v>11</v>
      </c>
      <c r="G797" s="5">
        <v>6.71</v>
      </c>
      <c r="H797" s="4">
        <v>0</v>
      </c>
    </row>
    <row r="798" spans="1:8" x14ac:dyDescent="0.2">
      <c r="A798" s="2" t="s">
        <v>62</v>
      </c>
      <c r="B798" s="4">
        <v>65</v>
      </c>
      <c r="C798" s="5">
        <v>8.82</v>
      </c>
      <c r="D798" s="4">
        <v>56</v>
      </c>
      <c r="E798" s="5">
        <v>10.51</v>
      </c>
      <c r="F798" s="4">
        <v>5</v>
      </c>
      <c r="G798" s="5">
        <v>3.05</v>
      </c>
      <c r="H798" s="4">
        <v>1</v>
      </c>
    </row>
    <row r="799" spans="1:8" x14ac:dyDescent="0.2">
      <c r="A799" s="2" t="s">
        <v>63</v>
      </c>
      <c r="B799" s="4">
        <v>38</v>
      </c>
      <c r="C799" s="5">
        <v>5.16</v>
      </c>
      <c r="D799" s="4">
        <v>23</v>
      </c>
      <c r="E799" s="5">
        <v>4.32</v>
      </c>
      <c r="F799" s="4">
        <v>1</v>
      </c>
      <c r="G799" s="5">
        <v>0.61</v>
      </c>
      <c r="H799" s="4">
        <v>1</v>
      </c>
    </row>
    <row r="800" spans="1:8" x14ac:dyDescent="0.2">
      <c r="A800" s="2" t="s">
        <v>64</v>
      </c>
      <c r="B800" s="4">
        <v>38</v>
      </c>
      <c r="C800" s="5">
        <v>5.16</v>
      </c>
      <c r="D800" s="4">
        <v>17</v>
      </c>
      <c r="E800" s="5">
        <v>3.19</v>
      </c>
      <c r="F800" s="4">
        <v>6</v>
      </c>
      <c r="G800" s="5">
        <v>3.66</v>
      </c>
      <c r="H800" s="4">
        <v>0</v>
      </c>
    </row>
    <row r="801" spans="1:8" x14ac:dyDescent="0.2">
      <c r="A801" s="2" t="s">
        <v>65</v>
      </c>
      <c r="B801" s="4">
        <v>9</v>
      </c>
      <c r="C801" s="5">
        <v>1.22</v>
      </c>
      <c r="D801" s="4">
        <v>6</v>
      </c>
      <c r="E801" s="5">
        <v>1.1299999999999999</v>
      </c>
      <c r="F801" s="4">
        <v>2</v>
      </c>
      <c r="G801" s="5">
        <v>1.22</v>
      </c>
      <c r="H801" s="4">
        <v>0</v>
      </c>
    </row>
    <row r="802" spans="1:8" x14ac:dyDescent="0.2">
      <c r="A802" s="1" t="s">
        <v>50</v>
      </c>
      <c r="B802" s="4">
        <v>416</v>
      </c>
      <c r="C802" s="5">
        <v>100.01</v>
      </c>
      <c r="D802" s="4">
        <v>283</v>
      </c>
      <c r="E802" s="5">
        <v>99.99</v>
      </c>
      <c r="F802" s="4">
        <v>117</v>
      </c>
      <c r="G802" s="5">
        <v>99.989999999999966</v>
      </c>
      <c r="H802" s="4">
        <v>3</v>
      </c>
    </row>
    <row r="803" spans="1:8" x14ac:dyDescent="0.2">
      <c r="A803" s="2" t="s">
        <v>51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2">
      <c r="A804" s="2" t="s">
        <v>52</v>
      </c>
      <c r="B804" s="4">
        <v>80</v>
      </c>
      <c r="C804" s="5">
        <v>19.23</v>
      </c>
      <c r="D804" s="4">
        <v>34</v>
      </c>
      <c r="E804" s="5">
        <v>12.01</v>
      </c>
      <c r="F804" s="4">
        <v>46</v>
      </c>
      <c r="G804" s="5">
        <v>39.32</v>
      </c>
      <c r="H804" s="4">
        <v>0</v>
      </c>
    </row>
    <row r="805" spans="1:8" x14ac:dyDescent="0.2">
      <c r="A805" s="2" t="s">
        <v>53</v>
      </c>
      <c r="B805" s="4">
        <v>24</v>
      </c>
      <c r="C805" s="5">
        <v>5.77</v>
      </c>
      <c r="D805" s="4">
        <v>16</v>
      </c>
      <c r="E805" s="5">
        <v>5.65</v>
      </c>
      <c r="F805" s="4">
        <v>8</v>
      </c>
      <c r="G805" s="5">
        <v>6.84</v>
      </c>
      <c r="H805" s="4">
        <v>0</v>
      </c>
    </row>
    <row r="806" spans="1:8" x14ac:dyDescent="0.2">
      <c r="A806" s="2" t="s">
        <v>54</v>
      </c>
      <c r="B806" s="4">
        <v>0</v>
      </c>
      <c r="C806" s="5">
        <v>0</v>
      </c>
      <c r="D806" s="4">
        <v>0</v>
      </c>
      <c r="E806" s="5">
        <v>0</v>
      </c>
      <c r="F806" s="4">
        <v>0</v>
      </c>
      <c r="G806" s="5">
        <v>0</v>
      </c>
      <c r="H806" s="4">
        <v>0</v>
      </c>
    </row>
    <row r="807" spans="1:8" x14ac:dyDescent="0.2">
      <c r="A807" s="2" t="s">
        <v>55</v>
      </c>
      <c r="B807" s="4">
        <v>1</v>
      </c>
      <c r="C807" s="5">
        <v>0.24</v>
      </c>
      <c r="D807" s="4">
        <v>0</v>
      </c>
      <c r="E807" s="5">
        <v>0</v>
      </c>
      <c r="F807" s="4">
        <v>1</v>
      </c>
      <c r="G807" s="5">
        <v>0.85</v>
      </c>
      <c r="H807" s="4">
        <v>0</v>
      </c>
    </row>
    <row r="808" spans="1:8" x14ac:dyDescent="0.2">
      <c r="A808" s="2" t="s">
        <v>56</v>
      </c>
      <c r="B808" s="4">
        <v>4</v>
      </c>
      <c r="C808" s="5">
        <v>0.96</v>
      </c>
      <c r="D808" s="4">
        <v>2</v>
      </c>
      <c r="E808" s="5">
        <v>0.71</v>
      </c>
      <c r="F808" s="4">
        <v>1</v>
      </c>
      <c r="G808" s="5">
        <v>0.85</v>
      </c>
      <c r="H808" s="4">
        <v>1</v>
      </c>
    </row>
    <row r="809" spans="1:8" x14ac:dyDescent="0.2">
      <c r="A809" s="2" t="s">
        <v>57</v>
      </c>
      <c r="B809" s="4">
        <v>109</v>
      </c>
      <c r="C809" s="5">
        <v>26.2</v>
      </c>
      <c r="D809" s="4">
        <v>75</v>
      </c>
      <c r="E809" s="5">
        <v>26.5</v>
      </c>
      <c r="F809" s="4">
        <v>34</v>
      </c>
      <c r="G809" s="5">
        <v>29.06</v>
      </c>
      <c r="H809" s="4">
        <v>0</v>
      </c>
    </row>
    <row r="810" spans="1:8" x14ac:dyDescent="0.2">
      <c r="A810" s="2" t="s">
        <v>58</v>
      </c>
      <c r="B810" s="4">
        <v>2</v>
      </c>
      <c r="C810" s="5">
        <v>0.48</v>
      </c>
      <c r="D810" s="4">
        <v>0</v>
      </c>
      <c r="E810" s="5">
        <v>0</v>
      </c>
      <c r="F810" s="4">
        <v>2</v>
      </c>
      <c r="G810" s="5">
        <v>1.71</v>
      </c>
      <c r="H810" s="4">
        <v>0</v>
      </c>
    </row>
    <row r="811" spans="1:8" x14ac:dyDescent="0.2">
      <c r="A811" s="2" t="s">
        <v>59</v>
      </c>
      <c r="B811" s="4">
        <v>15</v>
      </c>
      <c r="C811" s="5">
        <v>3.61</v>
      </c>
      <c r="D811" s="4">
        <v>9</v>
      </c>
      <c r="E811" s="5">
        <v>3.18</v>
      </c>
      <c r="F811" s="4">
        <v>6</v>
      </c>
      <c r="G811" s="5">
        <v>5.13</v>
      </c>
      <c r="H811" s="4">
        <v>0</v>
      </c>
    </row>
    <row r="812" spans="1:8" x14ac:dyDescent="0.2">
      <c r="A812" s="2" t="s">
        <v>60</v>
      </c>
      <c r="B812" s="4">
        <v>14</v>
      </c>
      <c r="C812" s="5">
        <v>3.37</v>
      </c>
      <c r="D812" s="4">
        <v>13</v>
      </c>
      <c r="E812" s="5">
        <v>4.59</v>
      </c>
      <c r="F812" s="4">
        <v>1</v>
      </c>
      <c r="G812" s="5">
        <v>0.85</v>
      </c>
      <c r="H812" s="4">
        <v>0</v>
      </c>
    </row>
    <row r="813" spans="1:8" x14ac:dyDescent="0.2">
      <c r="A813" s="2" t="s">
        <v>61</v>
      </c>
      <c r="B813" s="4">
        <v>70</v>
      </c>
      <c r="C813" s="5">
        <v>16.829999999999998</v>
      </c>
      <c r="D813" s="4">
        <v>62</v>
      </c>
      <c r="E813" s="5">
        <v>21.91</v>
      </c>
      <c r="F813" s="4">
        <v>7</v>
      </c>
      <c r="G813" s="5">
        <v>5.98</v>
      </c>
      <c r="H813" s="4">
        <v>0</v>
      </c>
    </row>
    <row r="814" spans="1:8" x14ac:dyDescent="0.2">
      <c r="A814" s="2" t="s">
        <v>62</v>
      </c>
      <c r="B814" s="4">
        <v>52</v>
      </c>
      <c r="C814" s="5">
        <v>12.5</v>
      </c>
      <c r="D814" s="4">
        <v>48</v>
      </c>
      <c r="E814" s="5">
        <v>16.96</v>
      </c>
      <c r="F814" s="4">
        <v>1</v>
      </c>
      <c r="G814" s="5">
        <v>0.85</v>
      </c>
      <c r="H814" s="4">
        <v>1</v>
      </c>
    </row>
    <row r="815" spans="1:8" x14ac:dyDescent="0.2">
      <c r="A815" s="2" t="s">
        <v>63</v>
      </c>
      <c r="B815" s="4">
        <v>10</v>
      </c>
      <c r="C815" s="5">
        <v>2.4</v>
      </c>
      <c r="D815" s="4">
        <v>5</v>
      </c>
      <c r="E815" s="5">
        <v>1.77</v>
      </c>
      <c r="F815" s="4">
        <v>2</v>
      </c>
      <c r="G815" s="5">
        <v>1.71</v>
      </c>
      <c r="H815" s="4">
        <v>1</v>
      </c>
    </row>
    <row r="816" spans="1:8" x14ac:dyDescent="0.2">
      <c r="A816" s="2" t="s">
        <v>64</v>
      </c>
      <c r="B816" s="4">
        <v>22</v>
      </c>
      <c r="C816" s="5">
        <v>5.29</v>
      </c>
      <c r="D816" s="4">
        <v>10</v>
      </c>
      <c r="E816" s="5">
        <v>3.53</v>
      </c>
      <c r="F816" s="4">
        <v>6</v>
      </c>
      <c r="G816" s="5">
        <v>5.13</v>
      </c>
      <c r="H816" s="4">
        <v>0</v>
      </c>
    </row>
    <row r="817" spans="1:8" x14ac:dyDescent="0.2">
      <c r="A817" s="2" t="s">
        <v>65</v>
      </c>
      <c r="B817" s="4">
        <v>13</v>
      </c>
      <c r="C817" s="5">
        <v>3.13</v>
      </c>
      <c r="D817" s="4">
        <v>9</v>
      </c>
      <c r="E817" s="5">
        <v>3.18</v>
      </c>
      <c r="F817" s="4">
        <v>2</v>
      </c>
      <c r="G817" s="5">
        <v>1.71</v>
      </c>
      <c r="H81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4BA0-FFC3-4EF5-A79D-CD4C77ED168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233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2</v>
      </c>
      <c r="D5" s="8">
        <v>0.14000000000000001</v>
      </c>
      <c r="E5" s="12">
        <v>0</v>
      </c>
      <c r="F5" s="8">
        <v>0</v>
      </c>
      <c r="G5" s="12">
        <v>2</v>
      </c>
      <c r="H5" s="8">
        <v>0.39</v>
      </c>
      <c r="I5" s="12">
        <v>0</v>
      </c>
    </row>
    <row r="6" spans="2:9" ht="15" customHeight="1" x14ac:dyDescent="0.2">
      <c r="B6" t="s">
        <v>52</v>
      </c>
      <c r="C6" s="12">
        <v>161</v>
      </c>
      <c r="D6" s="8">
        <v>11.1</v>
      </c>
      <c r="E6" s="12">
        <v>66</v>
      </c>
      <c r="F6" s="8">
        <v>7.39</v>
      </c>
      <c r="G6" s="12">
        <v>95</v>
      </c>
      <c r="H6" s="8">
        <v>18.45</v>
      </c>
      <c r="I6" s="12">
        <v>0</v>
      </c>
    </row>
    <row r="7" spans="2:9" ht="15" customHeight="1" x14ac:dyDescent="0.2">
      <c r="B7" t="s">
        <v>53</v>
      </c>
      <c r="C7" s="12">
        <v>96</v>
      </c>
      <c r="D7" s="8">
        <v>6.62</v>
      </c>
      <c r="E7" s="12">
        <v>52</v>
      </c>
      <c r="F7" s="8">
        <v>5.82</v>
      </c>
      <c r="G7" s="12">
        <v>44</v>
      </c>
      <c r="H7" s="8">
        <v>8.5399999999999991</v>
      </c>
      <c r="I7" s="12">
        <v>0</v>
      </c>
    </row>
    <row r="8" spans="2:9" ht="15" customHeight="1" x14ac:dyDescent="0.2">
      <c r="B8" t="s">
        <v>54</v>
      </c>
      <c r="C8" s="12">
        <v>4</v>
      </c>
      <c r="D8" s="8">
        <v>0.28000000000000003</v>
      </c>
      <c r="E8" s="12">
        <v>0</v>
      </c>
      <c r="F8" s="8">
        <v>0</v>
      </c>
      <c r="G8" s="12">
        <v>4</v>
      </c>
      <c r="H8" s="8">
        <v>0.78</v>
      </c>
      <c r="I8" s="12">
        <v>0</v>
      </c>
    </row>
    <row r="9" spans="2:9" ht="15" customHeight="1" x14ac:dyDescent="0.2">
      <c r="B9" t="s">
        <v>55</v>
      </c>
      <c r="C9" s="12">
        <v>9</v>
      </c>
      <c r="D9" s="8">
        <v>0.62</v>
      </c>
      <c r="E9" s="12">
        <v>2</v>
      </c>
      <c r="F9" s="8">
        <v>0.22</v>
      </c>
      <c r="G9" s="12">
        <v>7</v>
      </c>
      <c r="H9" s="8">
        <v>1.36</v>
      </c>
      <c r="I9" s="12">
        <v>0</v>
      </c>
    </row>
    <row r="10" spans="2:9" ht="15" customHeight="1" x14ac:dyDescent="0.2">
      <c r="B10" t="s">
        <v>56</v>
      </c>
      <c r="C10" s="12">
        <v>8</v>
      </c>
      <c r="D10" s="8">
        <v>0.55000000000000004</v>
      </c>
      <c r="E10" s="12">
        <v>1</v>
      </c>
      <c r="F10" s="8">
        <v>0.11</v>
      </c>
      <c r="G10" s="12">
        <v>7</v>
      </c>
      <c r="H10" s="8">
        <v>1.36</v>
      </c>
      <c r="I10" s="12">
        <v>0</v>
      </c>
    </row>
    <row r="11" spans="2:9" ht="15" customHeight="1" x14ac:dyDescent="0.2">
      <c r="B11" t="s">
        <v>57</v>
      </c>
      <c r="C11" s="12">
        <v>376</v>
      </c>
      <c r="D11" s="8">
        <v>25.91</v>
      </c>
      <c r="E11" s="12">
        <v>238</v>
      </c>
      <c r="F11" s="8">
        <v>26.65</v>
      </c>
      <c r="G11" s="12">
        <v>138</v>
      </c>
      <c r="H11" s="8">
        <v>26.8</v>
      </c>
      <c r="I11" s="12">
        <v>0</v>
      </c>
    </row>
    <row r="12" spans="2:9" ht="15" customHeight="1" x14ac:dyDescent="0.2">
      <c r="B12" t="s">
        <v>58</v>
      </c>
      <c r="C12" s="12">
        <v>18</v>
      </c>
      <c r="D12" s="8">
        <v>1.24</v>
      </c>
      <c r="E12" s="12">
        <v>3</v>
      </c>
      <c r="F12" s="8">
        <v>0.34</v>
      </c>
      <c r="G12" s="12">
        <v>15</v>
      </c>
      <c r="H12" s="8">
        <v>2.91</v>
      </c>
      <c r="I12" s="12">
        <v>0</v>
      </c>
    </row>
    <row r="13" spans="2:9" ht="15" customHeight="1" x14ac:dyDescent="0.2">
      <c r="B13" t="s">
        <v>59</v>
      </c>
      <c r="C13" s="12">
        <v>151</v>
      </c>
      <c r="D13" s="8">
        <v>10.41</v>
      </c>
      <c r="E13" s="12">
        <v>71</v>
      </c>
      <c r="F13" s="8">
        <v>7.95</v>
      </c>
      <c r="G13" s="12">
        <v>79</v>
      </c>
      <c r="H13" s="8">
        <v>15.34</v>
      </c>
      <c r="I13" s="12">
        <v>1</v>
      </c>
    </row>
    <row r="14" spans="2:9" ht="15" customHeight="1" x14ac:dyDescent="0.2">
      <c r="B14" t="s">
        <v>60</v>
      </c>
      <c r="C14" s="12">
        <v>71</v>
      </c>
      <c r="D14" s="8">
        <v>4.8899999999999997</v>
      </c>
      <c r="E14" s="12">
        <v>51</v>
      </c>
      <c r="F14" s="8">
        <v>5.71</v>
      </c>
      <c r="G14" s="12">
        <v>20</v>
      </c>
      <c r="H14" s="8">
        <v>3.88</v>
      </c>
      <c r="I14" s="12">
        <v>0</v>
      </c>
    </row>
    <row r="15" spans="2:9" ht="15" customHeight="1" x14ac:dyDescent="0.2">
      <c r="B15" t="s">
        <v>61</v>
      </c>
      <c r="C15" s="12">
        <v>191</v>
      </c>
      <c r="D15" s="8">
        <v>13.16</v>
      </c>
      <c r="E15" s="12">
        <v>173</v>
      </c>
      <c r="F15" s="8">
        <v>19.37</v>
      </c>
      <c r="G15" s="12">
        <v>16</v>
      </c>
      <c r="H15" s="8">
        <v>3.11</v>
      </c>
      <c r="I15" s="12">
        <v>0</v>
      </c>
    </row>
    <row r="16" spans="2:9" ht="15" customHeight="1" x14ac:dyDescent="0.2">
      <c r="B16" t="s">
        <v>62</v>
      </c>
      <c r="C16" s="12">
        <v>163</v>
      </c>
      <c r="D16" s="8">
        <v>11.23</v>
      </c>
      <c r="E16" s="12">
        <v>128</v>
      </c>
      <c r="F16" s="8">
        <v>14.33</v>
      </c>
      <c r="G16" s="12">
        <v>26</v>
      </c>
      <c r="H16" s="8">
        <v>5.05</v>
      </c>
      <c r="I16" s="12">
        <v>0</v>
      </c>
    </row>
    <row r="17" spans="2:9" ht="15" customHeight="1" x14ac:dyDescent="0.2">
      <c r="B17" t="s">
        <v>63</v>
      </c>
      <c r="C17" s="12">
        <v>61</v>
      </c>
      <c r="D17" s="8">
        <v>4.2</v>
      </c>
      <c r="E17" s="12">
        <v>38</v>
      </c>
      <c r="F17" s="8">
        <v>4.26</v>
      </c>
      <c r="G17" s="12">
        <v>9</v>
      </c>
      <c r="H17" s="8">
        <v>1.75</v>
      </c>
      <c r="I17" s="12">
        <v>0</v>
      </c>
    </row>
    <row r="18" spans="2:9" ht="15" customHeight="1" x14ac:dyDescent="0.2">
      <c r="B18" t="s">
        <v>64</v>
      </c>
      <c r="C18" s="12">
        <v>84</v>
      </c>
      <c r="D18" s="8">
        <v>5.79</v>
      </c>
      <c r="E18" s="12">
        <v>45</v>
      </c>
      <c r="F18" s="8">
        <v>5.04</v>
      </c>
      <c r="G18" s="12">
        <v>29</v>
      </c>
      <c r="H18" s="8">
        <v>5.63</v>
      </c>
      <c r="I18" s="12">
        <v>0</v>
      </c>
    </row>
    <row r="19" spans="2:9" ht="15" customHeight="1" x14ac:dyDescent="0.2">
      <c r="B19" t="s">
        <v>65</v>
      </c>
      <c r="C19" s="12">
        <v>56</v>
      </c>
      <c r="D19" s="8">
        <v>3.86</v>
      </c>
      <c r="E19" s="12">
        <v>25</v>
      </c>
      <c r="F19" s="8">
        <v>2.8</v>
      </c>
      <c r="G19" s="12">
        <v>24</v>
      </c>
      <c r="H19" s="8">
        <v>4.66</v>
      </c>
      <c r="I19" s="12">
        <v>2</v>
      </c>
    </row>
    <row r="20" spans="2:9" ht="15" customHeight="1" x14ac:dyDescent="0.2">
      <c r="B20" s="9" t="s">
        <v>215</v>
      </c>
      <c r="C20" s="12">
        <f>SUM(LTBL_28205[総数／事業所数])</f>
        <v>1451</v>
      </c>
      <c r="E20" s="12">
        <f>SUBTOTAL(109,LTBL_28205[個人／事業所数])</f>
        <v>893</v>
      </c>
      <c r="G20" s="12">
        <f>SUBTOTAL(109,LTBL_28205[法人／事業所数])</f>
        <v>515</v>
      </c>
      <c r="I20" s="12">
        <f>SUBTOTAL(109,LTBL_28205[法人以外の団体／事業所数])</f>
        <v>3</v>
      </c>
    </row>
    <row r="21" spans="2:9" ht="15" customHeight="1" x14ac:dyDescent="0.2">
      <c r="E21" s="11">
        <f>LTBL_28205[[#Totals],[個人／事業所数]]/LTBL_28205[[#Totals],[総数／事業所数]]</f>
        <v>0.61543762922122669</v>
      </c>
      <c r="G21" s="11">
        <f>LTBL_28205[[#Totals],[法人／事業所数]]/LTBL_28205[[#Totals],[総数／事業所数]]</f>
        <v>0.35492763611302552</v>
      </c>
      <c r="I21" s="11">
        <f>LTBL_28205[[#Totals],[法人以外の団体／事業所数]]/LTBL_28205[[#Totals],[総数／事業所数]]</f>
        <v>2.0675396278428669E-3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159</v>
      </c>
      <c r="D24" s="8">
        <v>10.96</v>
      </c>
      <c r="E24" s="12">
        <v>154</v>
      </c>
      <c r="F24" s="8">
        <v>17.25</v>
      </c>
      <c r="G24" s="12">
        <v>5</v>
      </c>
      <c r="H24" s="8">
        <v>0.97</v>
      </c>
      <c r="I24" s="12">
        <v>0</v>
      </c>
    </row>
    <row r="25" spans="2:9" ht="15" customHeight="1" x14ac:dyDescent="0.2">
      <c r="B25" t="s">
        <v>85</v>
      </c>
      <c r="C25" s="12">
        <v>134</v>
      </c>
      <c r="D25" s="8">
        <v>9.24</v>
      </c>
      <c r="E25" s="12">
        <v>68</v>
      </c>
      <c r="F25" s="8">
        <v>7.61</v>
      </c>
      <c r="G25" s="12">
        <v>65</v>
      </c>
      <c r="H25" s="8">
        <v>12.62</v>
      </c>
      <c r="I25" s="12">
        <v>1</v>
      </c>
    </row>
    <row r="26" spans="2:9" ht="15" customHeight="1" x14ac:dyDescent="0.2">
      <c r="B26" t="s">
        <v>89</v>
      </c>
      <c r="C26" s="12">
        <v>127</v>
      </c>
      <c r="D26" s="8">
        <v>8.75</v>
      </c>
      <c r="E26" s="12">
        <v>114</v>
      </c>
      <c r="F26" s="8">
        <v>12.77</v>
      </c>
      <c r="G26" s="12">
        <v>13</v>
      </c>
      <c r="H26" s="8">
        <v>2.52</v>
      </c>
      <c r="I26" s="12">
        <v>0</v>
      </c>
    </row>
    <row r="27" spans="2:9" ht="15" customHeight="1" x14ac:dyDescent="0.2">
      <c r="B27" t="s">
        <v>83</v>
      </c>
      <c r="C27" s="12">
        <v>114</v>
      </c>
      <c r="D27" s="8">
        <v>7.86</v>
      </c>
      <c r="E27" s="12">
        <v>63</v>
      </c>
      <c r="F27" s="8">
        <v>7.05</v>
      </c>
      <c r="G27" s="12">
        <v>51</v>
      </c>
      <c r="H27" s="8">
        <v>9.9</v>
      </c>
      <c r="I27" s="12">
        <v>0</v>
      </c>
    </row>
    <row r="28" spans="2:9" ht="15" customHeight="1" x14ac:dyDescent="0.2">
      <c r="B28" t="s">
        <v>81</v>
      </c>
      <c r="C28" s="12">
        <v>82</v>
      </c>
      <c r="D28" s="8">
        <v>5.65</v>
      </c>
      <c r="E28" s="12">
        <v>69</v>
      </c>
      <c r="F28" s="8">
        <v>7.73</v>
      </c>
      <c r="G28" s="12">
        <v>13</v>
      </c>
      <c r="H28" s="8">
        <v>2.52</v>
      </c>
      <c r="I28" s="12">
        <v>0</v>
      </c>
    </row>
    <row r="29" spans="2:9" ht="15" customHeight="1" x14ac:dyDescent="0.2">
      <c r="B29" t="s">
        <v>74</v>
      </c>
      <c r="C29" s="12">
        <v>78</v>
      </c>
      <c r="D29" s="8">
        <v>5.38</v>
      </c>
      <c r="E29" s="12">
        <v>24</v>
      </c>
      <c r="F29" s="8">
        <v>2.69</v>
      </c>
      <c r="G29" s="12">
        <v>54</v>
      </c>
      <c r="H29" s="8">
        <v>10.49</v>
      </c>
      <c r="I29" s="12">
        <v>0</v>
      </c>
    </row>
    <row r="30" spans="2:9" ht="15" customHeight="1" x14ac:dyDescent="0.2">
      <c r="B30" t="s">
        <v>91</v>
      </c>
      <c r="C30" s="12">
        <v>61</v>
      </c>
      <c r="D30" s="8">
        <v>4.2</v>
      </c>
      <c r="E30" s="12">
        <v>38</v>
      </c>
      <c r="F30" s="8">
        <v>4.26</v>
      </c>
      <c r="G30" s="12">
        <v>9</v>
      </c>
      <c r="H30" s="8">
        <v>1.75</v>
      </c>
      <c r="I30" s="12">
        <v>0</v>
      </c>
    </row>
    <row r="31" spans="2:9" ht="15" customHeight="1" x14ac:dyDescent="0.2">
      <c r="B31" t="s">
        <v>80</v>
      </c>
      <c r="C31" s="12">
        <v>59</v>
      </c>
      <c r="D31" s="8">
        <v>4.07</v>
      </c>
      <c r="E31" s="12">
        <v>38</v>
      </c>
      <c r="F31" s="8">
        <v>4.26</v>
      </c>
      <c r="G31" s="12">
        <v>21</v>
      </c>
      <c r="H31" s="8">
        <v>4.08</v>
      </c>
      <c r="I31" s="12">
        <v>0</v>
      </c>
    </row>
    <row r="32" spans="2:9" ht="15" customHeight="1" x14ac:dyDescent="0.2">
      <c r="B32" t="s">
        <v>92</v>
      </c>
      <c r="C32" s="12">
        <v>52</v>
      </c>
      <c r="D32" s="8">
        <v>3.58</v>
      </c>
      <c r="E32" s="12">
        <v>45</v>
      </c>
      <c r="F32" s="8">
        <v>5.04</v>
      </c>
      <c r="G32" s="12">
        <v>7</v>
      </c>
      <c r="H32" s="8">
        <v>1.36</v>
      </c>
      <c r="I32" s="12">
        <v>0</v>
      </c>
    </row>
    <row r="33" spans="2:9" ht="15" customHeight="1" x14ac:dyDescent="0.2">
      <c r="B33" t="s">
        <v>75</v>
      </c>
      <c r="C33" s="12">
        <v>45</v>
      </c>
      <c r="D33" s="8">
        <v>3.1</v>
      </c>
      <c r="E33" s="12">
        <v>26</v>
      </c>
      <c r="F33" s="8">
        <v>2.91</v>
      </c>
      <c r="G33" s="12">
        <v>19</v>
      </c>
      <c r="H33" s="8">
        <v>3.69</v>
      </c>
      <c r="I33" s="12">
        <v>0</v>
      </c>
    </row>
    <row r="34" spans="2:9" ht="15" customHeight="1" x14ac:dyDescent="0.2">
      <c r="B34" t="s">
        <v>82</v>
      </c>
      <c r="C34" s="12">
        <v>40</v>
      </c>
      <c r="D34" s="8">
        <v>2.76</v>
      </c>
      <c r="E34" s="12">
        <v>34</v>
      </c>
      <c r="F34" s="8">
        <v>3.81</v>
      </c>
      <c r="G34" s="12">
        <v>6</v>
      </c>
      <c r="H34" s="8">
        <v>1.17</v>
      </c>
      <c r="I34" s="12">
        <v>0</v>
      </c>
    </row>
    <row r="35" spans="2:9" ht="15" customHeight="1" x14ac:dyDescent="0.2">
      <c r="B35" t="s">
        <v>76</v>
      </c>
      <c r="C35" s="12">
        <v>38</v>
      </c>
      <c r="D35" s="8">
        <v>2.62</v>
      </c>
      <c r="E35" s="12">
        <v>16</v>
      </c>
      <c r="F35" s="8">
        <v>1.79</v>
      </c>
      <c r="G35" s="12">
        <v>22</v>
      </c>
      <c r="H35" s="8">
        <v>4.2699999999999996</v>
      </c>
      <c r="I35" s="12">
        <v>0</v>
      </c>
    </row>
    <row r="36" spans="2:9" ht="15" customHeight="1" x14ac:dyDescent="0.2">
      <c r="B36" t="s">
        <v>86</v>
      </c>
      <c r="C36" s="12">
        <v>35</v>
      </c>
      <c r="D36" s="8">
        <v>2.41</v>
      </c>
      <c r="E36" s="12">
        <v>29</v>
      </c>
      <c r="F36" s="8">
        <v>3.25</v>
      </c>
      <c r="G36" s="12">
        <v>6</v>
      </c>
      <c r="H36" s="8">
        <v>1.17</v>
      </c>
      <c r="I36" s="12">
        <v>0</v>
      </c>
    </row>
    <row r="37" spans="2:9" ht="15" customHeight="1" x14ac:dyDescent="0.2">
      <c r="B37" t="s">
        <v>87</v>
      </c>
      <c r="C37" s="12">
        <v>33</v>
      </c>
      <c r="D37" s="8">
        <v>2.27</v>
      </c>
      <c r="E37" s="12">
        <v>21</v>
      </c>
      <c r="F37" s="8">
        <v>2.35</v>
      </c>
      <c r="G37" s="12">
        <v>12</v>
      </c>
      <c r="H37" s="8">
        <v>2.33</v>
      </c>
      <c r="I37" s="12">
        <v>0</v>
      </c>
    </row>
    <row r="38" spans="2:9" ht="15" customHeight="1" x14ac:dyDescent="0.2">
      <c r="B38" t="s">
        <v>93</v>
      </c>
      <c r="C38" s="12">
        <v>32</v>
      </c>
      <c r="D38" s="8">
        <v>2.21</v>
      </c>
      <c r="E38" s="12">
        <v>0</v>
      </c>
      <c r="F38" s="8">
        <v>0</v>
      </c>
      <c r="G38" s="12">
        <v>22</v>
      </c>
      <c r="H38" s="8">
        <v>4.2699999999999996</v>
      </c>
      <c r="I38" s="12">
        <v>0</v>
      </c>
    </row>
    <row r="39" spans="2:9" ht="15" customHeight="1" x14ac:dyDescent="0.2">
      <c r="B39" t="s">
        <v>104</v>
      </c>
      <c r="C39" s="12">
        <v>25</v>
      </c>
      <c r="D39" s="8">
        <v>1.72</v>
      </c>
      <c r="E39" s="12">
        <v>20</v>
      </c>
      <c r="F39" s="8">
        <v>2.2400000000000002</v>
      </c>
      <c r="G39" s="12">
        <v>4</v>
      </c>
      <c r="H39" s="8">
        <v>0.78</v>
      </c>
      <c r="I39" s="12">
        <v>1</v>
      </c>
    </row>
    <row r="40" spans="2:9" ht="15" customHeight="1" x14ac:dyDescent="0.2">
      <c r="B40" t="s">
        <v>95</v>
      </c>
      <c r="C40" s="12">
        <v>23</v>
      </c>
      <c r="D40" s="8">
        <v>1.59</v>
      </c>
      <c r="E40" s="12">
        <v>14</v>
      </c>
      <c r="F40" s="8">
        <v>1.57</v>
      </c>
      <c r="G40" s="12">
        <v>9</v>
      </c>
      <c r="H40" s="8">
        <v>1.75</v>
      </c>
      <c r="I40" s="12">
        <v>0</v>
      </c>
    </row>
    <row r="41" spans="2:9" ht="15" customHeight="1" x14ac:dyDescent="0.2">
      <c r="B41" t="s">
        <v>105</v>
      </c>
      <c r="C41" s="12">
        <v>22</v>
      </c>
      <c r="D41" s="8">
        <v>1.52</v>
      </c>
      <c r="E41" s="12">
        <v>15</v>
      </c>
      <c r="F41" s="8">
        <v>1.68</v>
      </c>
      <c r="G41" s="12">
        <v>7</v>
      </c>
      <c r="H41" s="8">
        <v>1.36</v>
      </c>
      <c r="I41" s="12">
        <v>0</v>
      </c>
    </row>
    <row r="42" spans="2:9" ht="15" customHeight="1" x14ac:dyDescent="0.2">
      <c r="B42" t="s">
        <v>90</v>
      </c>
      <c r="C42" s="12">
        <v>21</v>
      </c>
      <c r="D42" s="8">
        <v>1.45</v>
      </c>
      <c r="E42" s="12">
        <v>9</v>
      </c>
      <c r="F42" s="8">
        <v>1.01</v>
      </c>
      <c r="G42" s="12">
        <v>5</v>
      </c>
      <c r="H42" s="8">
        <v>0.97</v>
      </c>
      <c r="I42" s="12">
        <v>0</v>
      </c>
    </row>
    <row r="43" spans="2:9" ht="15" customHeight="1" x14ac:dyDescent="0.2">
      <c r="B43" t="s">
        <v>102</v>
      </c>
      <c r="C43" s="12">
        <v>18</v>
      </c>
      <c r="D43" s="8">
        <v>1.24</v>
      </c>
      <c r="E43" s="12">
        <v>3</v>
      </c>
      <c r="F43" s="8">
        <v>0.34</v>
      </c>
      <c r="G43" s="12">
        <v>15</v>
      </c>
      <c r="H43" s="8">
        <v>2.91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132</v>
      </c>
      <c r="C47" s="12">
        <v>73</v>
      </c>
      <c r="D47" s="8">
        <v>5.03</v>
      </c>
      <c r="E47" s="12">
        <v>34</v>
      </c>
      <c r="F47" s="8">
        <v>3.81</v>
      </c>
      <c r="G47" s="12">
        <v>38</v>
      </c>
      <c r="H47" s="8">
        <v>7.38</v>
      </c>
      <c r="I47" s="12">
        <v>1</v>
      </c>
    </row>
    <row r="48" spans="2:9" ht="15" customHeight="1" x14ac:dyDescent="0.2">
      <c r="B48" t="s">
        <v>138</v>
      </c>
      <c r="C48" s="12">
        <v>61</v>
      </c>
      <c r="D48" s="8">
        <v>4.2</v>
      </c>
      <c r="E48" s="12">
        <v>55</v>
      </c>
      <c r="F48" s="8">
        <v>6.16</v>
      </c>
      <c r="G48" s="12">
        <v>6</v>
      </c>
      <c r="H48" s="8">
        <v>1.17</v>
      </c>
      <c r="I48" s="12">
        <v>0</v>
      </c>
    </row>
    <row r="49" spans="2:9" ht="15" customHeight="1" x14ac:dyDescent="0.2">
      <c r="B49" t="s">
        <v>122</v>
      </c>
      <c r="C49" s="12">
        <v>37</v>
      </c>
      <c r="D49" s="8">
        <v>2.5499999999999998</v>
      </c>
      <c r="E49" s="12">
        <v>11</v>
      </c>
      <c r="F49" s="8">
        <v>1.23</v>
      </c>
      <c r="G49" s="12">
        <v>26</v>
      </c>
      <c r="H49" s="8">
        <v>5.05</v>
      </c>
      <c r="I49" s="12">
        <v>0</v>
      </c>
    </row>
    <row r="50" spans="2:9" ht="15" customHeight="1" x14ac:dyDescent="0.2">
      <c r="B50" t="s">
        <v>136</v>
      </c>
      <c r="C50" s="12">
        <v>37</v>
      </c>
      <c r="D50" s="8">
        <v>2.5499999999999998</v>
      </c>
      <c r="E50" s="12">
        <v>35</v>
      </c>
      <c r="F50" s="8">
        <v>3.92</v>
      </c>
      <c r="G50" s="12">
        <v>2</v>
      </c>
      <c r="H50" s="8">
        <v>0.39</v>
      </c>
      <c r="I50" s="12">
        <v>0</v>
      </c>
    </row>
    <row r="51" spans="2:9" ht="15" customHeight="1" x14ac:dyDescent="0.2">
      <c r="B51" t="s">
        <v>137</v>
      </c>
      <c r="C51" s="12">
        <v>36</v>
      </c>
      <c r="D51" s="8">
        <v>2.48</v>
      </c>
      <c r="E51" s="12">
        <v>35</v>
      </c>
      <c r="F51" s="8">
        <v>3.92</v>
      </c>
      <c r="G51" s="12">
        <v>1</v>
      </c>
      <c r="H51" s="8">
        <v>0.19</v>
      </c>
      <c r="I51" s="12">
        <v>0</v>
      </c>
    </row>
    <row r="52" spans="2:9" ht="15" customHeight="1" x14ac:dyDescent="0.2">
      <c r="B52" t="s">
        <v>142</v>
      </c>
      <c r="C52" s="12">
        <v>34</v>
      </c>
      <c r="D52" s="8">
        <v>2.34</v>
      </c>
      <c r="E52" s="12">
        <v>30</v>
      </c>
      <c r="F52" s="8">
        <v>3.36</v>
      </c>
      <c r="G52" s="12">
        <v>4</v>
      </c>
      <c r="H52" s="8">
        <v>0.78</v>
      </c>
      <c r="I52" s="12">
        <v>0</v>
      </c>
    </row>
    <row r="53" spans="2:9" ht="15" customHeight="1" x14ac:dyDescent="0.2">
      <c r="B53" t="s">
        <v>141</v>
      </c>
      <c r="C53" s="12">
        <v>34</v>
      </c>
      <c r="D53" s="8">
        <v>2.34</v>
      </c>
      <c r="E53" s="12">
        <v>28</v>
      </c>
      <c r="F53" s="8">
        <v>3.14</v>
      </c>
      <c r="G53" s="12">
        <v>6</v>
      </c>
      <c r="H53" s="8">
        <v>1.17</v>
      </c>
      <c r="I53" s="12">
        <v>0</v>
      </c>
    </row>
    <row r="54" spans="2:9" ht="15" customHeight="1" x14ac:dyDescent="0.2">
      <c r="B54" t="s">
        <v>125</v>
      </c>
      <c r="C54" s="12">
        <v>33</v>
      </c>
      <c r="D54" s="8">
        <v>2.27</v>
      </c>
      <c r="E54" s="12">
        <v>22</v>
      </c>
      <c r="F54" s="8">
        <v>2.46</v>
      </c>
      <c r="G54" s="12">
        <v>11</v>
      </c>
      <c r="H54" s="8">
        <v>2.14</v>
      </c>
      <c r="I54" s="12">
        <v>0</v>
      </c>
    </row>
    <row r="55" spans="2:9" ht="15" customHeight="1" x14ac:dyDescent="0.2">
      <c r="B55" t="s">
        <v>135</v>
      </c>
      <c r="C55" s="12">
        <v>30</v>
      </c>
      <c r="D55" s="8">
        <v>2.0699999999999998</v>
      </c>
      <c r="E55" s="12">
        <v>30</v>
      </c>
      <c r="F55" s="8">
        <v>3.36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129</v>
      </c>
      <c r="C56" s="12">
        <v>29</v>
      </c>
      <c r="D56" s="8">
        <v>2</v>
      </c>
      <c r="E56" s="12">
        <v>19</v>
      </c>
      <c r="F56" s="8">
        <v>2.13</v>
      </c>
      <c r="G56" s="12">
        <v>10</v>
      </c>
      <c r="H56" s="8">
        <v>1.94</v>
      </c>
      <c r="I56" s="12">
        <v>0</v>
      </c>
    </row>
    <row r="57" spans="2:9" ht="15" customHeight="1" x14ac:dyDescent="0.2">
      <c r="B57" t="s">
        <v>140</v>
      </c>
      <c r="C57" s="12">
        <v>27</v>
      </c>
      <c r="D57" s="8">
        <v>1.86</v>
      </c>
      <c r="E57" s="12">
        <v>22</v>
      </c>
      <c r="F57" s="8">
        <v>2.46</v>
      </c>
      <c r="G57" s="12">
        <v>5</v>
      </c>
      <c r="H57" s="8">
        <v>0.97</v>
      </c>
      <c r="I57" s="12">
        <v>0</v>
      </c>
    </row>
    <row r="58" spans="2:9" ht="15" customHeight="1" x14ac:dyDescent="0.2">
      <c r="B58" t="s">
        <v>133</v>
      </c>
      <c r="C58" s="12">
        <v>26</v>
      </c>
      <c r="D58" s="8">
        <v>1.79</v>
      </c>
      <c r="E58" s="12">
        <v>26</v>
      </c>
      <c r="F58" s="8">
        <v>2.91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134</v>
      </c>
      <c r="C59" s="12">
        <v>25</v>
      </c>
      <c r="D59" s="8">
        <v>1.72</v>
      </c>
      <c r="E59" s="12">
        <v>24</v>
      </c>
      <c r="F59" s="8">
        <v>2.69</v>
      </c>
      <c r="G59" s="12">
        <v>1</v>
      </c>
      <c r="H59" s="8">
        <v>0.19</v>
      </c>
      <c r="I59" s="12">
        <v>0</v>
      </c>
    </row>
    <row r="60" spans="2:9" ht="15" customHeight="1" x14ac:dyDescent="0.2">
      <c r="B60" t="s">
        <v>165</v>
      </c>
      <c r="C60" s="12">
        <v>25</v>
      </c>
      <c r="D60" s="8">
        <v>1.72</v>
      </c>
      <c r="E60" s="12">
        <v>20</v>
      </c>
      <c r="F60" s="8">
        <v>2.2400000000000002</v>
      </c>
      <c r="G60" s="12">
        <v>4</v>
      </c>
      <c r="H60" s="8">
        <v>0.78</v>
      </c>
      <c r="I60" s="12">
        <v>1</v>
      </c>
    </row>
    <row r="61" spans="2:9" ht="15" customHeight="1" x14ac:dyDescent="0.2">
      <c r="B61" t="s">
        <v>127</v>
      </c>
      <c r="C61" s="12">
        <v>24</v>
      </c>
      <c r="D61" s="8">
        <v>1.65</v>
      </c>
      <c r="E61" s="12">
        <v>22</v>
      </c>
      <c r="F61" s="8">
        <v>2.46</v>
      </c>
      <c r="G61" s="12">
        <v>2</v>
      </c>
      <c r="H61" s="8">
        <v>0.39</v>
      </c>
      <c r="I61" s="12">
        <v>0</v>
      </c>
    </row>
    <row r="62" spans="2:9" ht="15" customHeight="1" x14ac:dyDescent="0.2">
      <c r="B62" t="s">
        <v>128</v>
      </c>
      <c r="C62" s="12">
        <v>24</v>
      </c>
      <c r="D62" s="8">
        <v>1.65</v>
      </c>
      <c r="E62" s="12">
        <v>5</v>
      </c>
      <c r="F62" s="8">
        <v>0.56000000000000005</v>
      </c>
      <c r="G62" s="12">
        <v>19</v>
      </c>
      <c r="H62" s="8">
        <v>3.69</v>
      </c>
      <c r="I62" s="12">
        <v>0</v>
      </c>
    </row>
    <row r="63" spans="2:9" ht="15" customHeight="1" x14ac:dyDescent="0.2">
      <c r="B63" t="s">
        <v>131</v>
      </c>
      <c r="C63" s="12">
        <v>23</v>
      </c>
      <c r="D63" s="8">
        <v>1.59</v>
      </c>
      <c r="E63" s="12">
        <v>4</v>
      </c>
      <c r="F63" s="8">
        <v>0.45</v>
      </c>
      <c r="G63" s="12">
        <v>19</v>
      </c>
      <c r="H63" s="8">
        <v>3.69</v>
      </c>
      <c r="I63" s="12">
        <v>0</v>
      </c>
    </row>
    <row r="64" spans="2:9" ht="15" customHeight="1" x14ac:dyDescent="0.2">
      <c r="B64" t="s">
        <v>144</v>
      </c>
      <c r="C64" s="12">
        <v>23</v>
      </c>
      <c r="D64" s="8">
        <v>1.59</v>
      </c>
      <c r="E64" s="12">
        <v>13</v>
      </c>
      <c r="F64" s="8">
        <v>1.46</v>
      </c>
      <c r="G64" s="12">
        <v>10</v>
      </c>
      <c r="H64" s="8">
        <v>1.94</v>
      </c>
      <c r="I64" s="12">
        <v>0</v>
      </c>
    </row>
    <row r="65" spans="2:9" ht="15" customHeight="1" x14ac:dyDescent="0.2">
      <c r="B65" t="s">
        <v>126</v>
      </c>
      <c r="C65" s="12">
        <v>22</v>
      </c>
      <c r="D65" s="8">
        <v>1.52</v>
      </c>
      <c r="E65" s="12">
        <v>19</v>
      </c>
      <c r="F65" s="8">
        <v>2.13</v>
      </c>
      <c r="G65" s="12">
        <v>3</v>
      </c>
      <c r="H65" s="8">
        <v>0.57999999999999996</v>
      </c>
      <c r="I65" s="12">
        <v>0</v>
      </c>
    </row>
    <row r="66" spans="2:9" ht="15" customHeight="1" x14ac:dyDescent="0.2">
      <c r="B66" t="s">
        <v>124</v>
      </c>
      <c r="C66" s="12">
        <v>21</v>
      </c>
      <c r="D66" s="8">
        <v>1.45</v>
      </c>
      <c r="E66" s="12">
        <v>9</v>
      </c>
      <c r="F66" s="8">
        <v>1.01</v>
      </c>
      <c r="G66" s="12">
        <v>12</v>
      </c>
      <c r="H66" s="8">
        <v>2.33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10FE-C049-4E45-ACEE-C30CB6456AC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234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97</v>
      </c>
      <c r="D6" s="8">
        <v>5.15</v>
      </c>
      <c r="E6" s="12">
        <v>18</v>
      </c>
      <c r="F6" s="8">
        <v>2.63</v>
      </c>
      <c r="G6" s="12">
        <v>79</v>
      </c>
      <c r="H6" s="8">
        <v>6.68</v>
      </c>
      <c r="I6" s="12">
        <v>0</v>
      </c>
    </row>
    <row r="7" spans="2:9" ht="15" customHeight="1" x14ac:dyDescent="0.2">
      <c r="B7" t="s">
        <v>53</v>
      </c>
      <c r="C7" s="12">
        <v>39</v>
      </c>
      <c r="D7" s="8">
        <v>2.0699999999999998</v>
      </c>
      <c r="E7" s="12">
        <v>5</v>
      </c>
      <c r="F7" s="8">
        <v>0.73</v>
      </c>
      <c r="G7" s="12">
        <v>34</v>
      </c>
      <c r="H7" s="8">
        <v>2.88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0.11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2">
      <c r="B9" t="s">
        <v>55</v>
      </c>
      <c r="C9" s="12">
        <v>32</v>
      </c>
      <c r="D9" s="8">
        <v>1.7</v>
      </c>
      <c r="E9" s="12">
        <v>4</v>
      </c>
      <c r="F9" s="8">
        <v>0.57999999999999996</v>
      </c>
      <c r="G9" s="12">
        <v>28</v>
      </c>
      <c r="H9" s="8">
        <v>2.37</v>
      </c>
      <c r="I9" s="12">
        <v>0</v>
      </c>
    </row>
    <row r="10" spans="2:9" ht="15" customHeight="1" x14ac:dyDescent="0.2">
      <c r="B10" t="s">
        <v>56</v>
      </c>
      <c r="C10" s="12">
        <v>12</v>
      </c>
      <c r="D10" s="8">
        <v>0.64</v>
      </c>
      <c r="E10" s="12">
        <v>2</v>
      </c>
      <c r="F10" s="8">
        <v>0.28999999999999998</v>
      </c>
      <c r="G10" s="12">
        <v>10</v>
      </c>
      <c r="H10" s="8">
        <v>0.85</v>
      </c>
      <c r="I10" s="12">
        <v>0</v>
      </c>
    </row>
    <row r="11" spans="2:9" ht="15" customHeight="1" x14ac:dyDescent="0.2">
      <c r="B11" t="s">
        <v>57</v>
      </c>
      <c r="C11" s="12">
        <v>435</v>
      </c>
      <c r="D11" s="8">
        <v>23.09</v>
      </c>
      <c r="E11" s="12">
        <v>147</v>
      </c>
      <c r="F11" s="8">
        <v>21.49</v>
      </c>
      <c r="G11" s="12">
        <v>286</v>
      </c>
      <c r="H11" s="8">
        <v>24.2</v>
      </c>
      <c r="I11" s="12">
        <v>2</v>
      </c>
    </row>
    <row r="12" spans="2:9" ht="15" customHeight="1" x14ac:dyDescent="0.2">
      <c r="B12" t="s">
        <v>58</v>
      </c>
      <c r="C12" s="12">
        <v>11</v>
      </c>
      <c r="D12" s="8">
        <v>0.57999999999999996</v>
      </c>
      <c r="E12" s="12">
        <v>0</v>
      </c>
      <c r="F12" s="8">
        <v>0</v>
      </c>
      <c r="G12" s="12">
        <v>11</v>
      </c>
      <c r="H12" s="8">
        <v>0.93</v>
      </c>
      <c r="I12" s="12">
        <v>0</v>
      </c>
    </row>
    <row r="13" spans="2:9" ht="15" customHeight="1" x14ac:dyDescent="0.2">
      <c r="B13" t="s">
        <v>59</v>
      </c>
      <c r="C13" s="12">
        <v>345</v>
      </c>
      <c r="D13" s="8">
        <v>18.309999999999999</v>
      </c>
      <c r="E13" s="12">
        <v>20</v>
      </c>
      <c r="F13" s="8">
        <v>2.92</v>
      </c>
      <c r="G13" s="12">
        <v>322</v>
      </c>
      <c r="H13" s="8">
        <v>27.24</v>
      </c>
      <c r="I13" s="12">
        <v>3</v>
      </c>
    </row>
    <row r="14" spans="2:9" ht="15" customHeight="1" x14ac:dyDescent="0.2">
      <c r="B14" t="s">
        <v>60</v>
      </c>
      <c r="C14" s="12">
        <v>192</v>
      </c>
      <c r="D14" s="8">
        <v>10.19</v>
      </c>
      <c r="E14" s="12">
        <v>65</v>
      </c>
      <c r="F14" s="8">
        <v>9.5</v>
      </c>
      <c r="G14" s="12">
        <v>127</v>
      </c>
      <c r="H14" s="8">
        <v>10.74</v>
      </c>
      <c r="I14" s="12">
        <v>0</v>
      </c>
    </row>
    <row r="15" spans="2:9" ht="15" customHeight="1" x14ac:dyDescent="0.2">
      <c r="B15" t="s">
        <v>61</v>
      </c>
      <c r="C15" s="12">
        <v>199</v>
      </c>
      <c r="D15" s="8">
        <v>10.56</v>
      </c>
      <c r="E15" s="12">
        <v>129</v>
      </c>
      <c r="F15" s="8">
        <v>18.86</v>
      </c>
      <c r="G15" s="12">
        <v>70</v>
      </c>
      <c r="H15" s="8">
        <v>5.92</v>
      </c>
      <c r="I15" s="12">
        <v>0</v>
      </c>
    </row>
    <row r="16" spans="2:9" ht="15" customHeight="1" x14ac:dyDescent="0.2">
      <c r="B16" t="s">
        <v>62</v>
      </c>
      <c r="C16" s="12">
        <v>224</v>
      </c>
      <c r="D16" s="8">
        <v>11.89</v>
      </c>
      <c r="E16" s="12">
        <v>139</v>
      </c>
      <c r="F16" s="8">
        <v>20.32</v>
      </c>
      <c r="G16" s="12">
        <v>85</v>
      </c>
      <c r="H16" s="8">
        <v>7.19</v>
      </c>
      <c r="I16" s="12">
        <v>0</v>
      </c>
    </row>
    <row r="17" spans="2:9" ht="15" customHeight="1" x14ac:dyDescent="0.2">
      <c r="B17" t="s">
        <v>63</v>
      </c>
      <c r="C17" s="12">
        <v>91</v>
      </c>
      <c r="D17" s="8">
        <v>4.83</v>
      </c>
      <c r="E17" s="12">
        <v>45</v>
      </c>
      <c r="F17" s="8">
        <v>6.58</v>
      </c>
      <c r="G17" s="12">
        <v>45</v>
      </c>
      <c r="H17" s="8">
        <v>3.81</v>
      </c>
      <c r="I17" s="12">
        <v>1</v>
      </c>
    </row>
    <row r="18" spans="2:9" ht="15" customHeight="1" x14ac:dyDescent="0.2">
      <c r="B18" t="s">
        <v>64</v>
      </c>
      <c r="C18" s="12">
        <v>136</v>
      </c>
      <c r="D18" s="8">
        <v>7.22</v>
      </c>
      <c r="E18" s="12">
        <v>103</v>
      </c>
      <c r="F18" s="8">
        <v>15.06</v>
      </c>
      <c r="G18" s="12">
        <v>33</v>
      </c>
      <c r="H18" s="8">
        <v>2.79</v>
      </c>
      <c r="I18" s="12">
        <v>0</v>
      </c>
    </row>
    <row r="19" spans="2:9" ht="15" customHeight="1" x14ac:dyDescent="0.2">
      <c r="B19" t="s">
        <v>65</v>
      </c>
      <c r="C19" s="12">
        <v>69</v>
      </c>
      <c r="D19" s="8">
        <v>3.66</v>
      </c>
      <c r="E19" s="12">
        <v>7</v>
      </c>
      <c r="F19" s="8">
        <v>1.02</v>
      </c>
      <c r="G19" s="12">
        <v>51</v>
      </c>
      <c r="H19" s="8">
        <v>4.3099999999999996</v>
      </c>
      <c r="I19" s="12">
        <v>11</v>
      </c>
    </row>
    <row r="20" spans="2:9" ht="15" customHeight="1" x14ac:dyDescent="0.2">
      <c r="B20" s="9" t="s">
        <v>215</v>
      </c>
      <c r="C20" s="12">
        <f>SUM(LTBL_28206[総数／事業所数])</f>
        <v>1884</v>
      </c>
      <c r="E20" s="12">
        <f>SUBTOTAL(109,LTBL_28206[個人／事業所数])</f>
        <v>684</v>
      </c>
      <c r="G20" s="12">
        <f>SUBTOTAL(109,LTBL_28206[法人／事業所数])</f>
        <v>1182</v>
      </c>
      <c r="I20" s="12">
        <f>SUBTOTAL(109,LTBL_28206[法人以外の団体／事業所数])</f>
        <v>17</v>
      </c>
    </row>
    <row r="21" spans="2:9" ht="15" customHeight="1" x14ac:dyDescent="0.2">
      <c r="E21" s="11">
        <f>LTBL_28206[[#Totals],[個人／事業所数]]/LTBL_28206[[#Totals],[総数／事業所数]]</f>
        <v>0.36305732484076431</v>
      </c>
      <c r="G21" s="11">
        <f>LTBL_28206[[#Totals],[法人／事業所数]]/LTBL_28206[[#Totals],[総数／事業所数]]</f>
        <v>0.62738853503184711</v>
      </c>
      <c r="I21" s="11">
        <f>LTBL_28206[[#Totals],[法人以外の団体／事業所数]]/LTBL_28206[[#Totals],[総数／事業所数]]</f>
        <v>9.0233545647558384E-3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85</v>
      </c>
      <c r="C24" s="12">
        <v>269</v>
      </c>
      <c r="D24" s="8">
        <v>14.28</v>
      </c>
      <c r="E24" s="12">
        <v>14</v>
      </c>
      <c r="F24" s="8">
        <v>2.0499999999999998</v>
      </c>
      <c r="G24" s="12">
        <v>252</v>
      </c>
      <c r="H24" s="8">
        <v>21.32</v>
      </c>
      <c r="I24" s="12">
        <v>3</v>
      </c>
    </row>
    <row r="25" spans="2:9" ht="15" customHeight="1" x14ac:dyDescent="0.2">
      <c r="B25" t="s">
        <v>89</v>
      </c>
      <c r="C25" s="12">
        <v>176</v>
      </c>
      <c r="D25" s="8">
        <v>9.34</v>
      </c>
      <c r="E25" s="12">
        <v>118</v>
      </c>
      <c r="F25" s="8">
        <v>17.25</v>
      </c>
      <c r="G25" s="12">
        <v>58</v>
      </c>
      <c r="H25" s="8">
        <v>4.91</v>
      </c>
      <c r="I25" s="12">
        <v>0</v>
      </c>
    </row>
    <row r="26" spans="2:9" ht="15" customHeight="1" x14ac:dyDescent="0.2">
      <c r="B26" t="s">
        <v>88</v>
      </c>
      <c r="C26" s="12">
        <v>171</v>
      </c>
      <c r="D26" s="8">
        <v>9.08</v>
      </c>
      <c r="E26" s="12">
        <v>128</v>
      </c>
      <c r="F26" s="8">
        <v>18.71</v>
      </c>
      <c r="G26" s="12">
        <v>43</v>
      </c>
      <c r="H26" s="8">
        <v>3.64</v>
      </c>
      <c r="I26" s="12">
        <v>0</v>
      </c>
    </row>
    <row r="27" spans="2:9" ht="15" customHeight="1" x14ac:dyDescent="0.2">
      <c r="B27" t="s">
        <v>86</v>
      </c>
      <c r="C27" s="12">
        <v>136</v>
      </c>
      <c r="D27" s="8">
        <v>7.22</v>
      </c>
      <c r="E27" s="12">
        <v>44</v>
      </c>
      <c r="F27" s="8">
        <v>6.43</v>
      </c>
      <c r="G27" s="12">
        <v>92</v>
      </c>
      <c r="H27" s="8">
        <v>7.78</v>
      </c>
      <c r="I27" s="12">
        <v>0</v>
      </c>
    </row>
    <row r="28" spans="2:9" ht="15" customHeight="1" x14ac:dyDescent="0.2">
      <c r="B28" t="s">
        <v>83</v>
      </c>
      <c r="C28" s="12">
        <v>119</v>
      </c>
      <c r="D28" s="8">
        <v>6.32</v>
      </c>
      <c r="E28" s="12">
        <v>53</v>
      </c>
      <c r="F28" s="8">
        <v>7.75</v>
      </c>
      <c r="G28" s="12">
        <v>65</v>
      </c>
      <c r="H28" s="8">
        <v>5.5</v>
      </c>
      <c r="I28" s="12">
        <v>1</v>
      </c>
    </row>
    <row r="29" spans="2:9" ht="15" customHeight="1" x14ac:dyDescent="0.2">
      <c r="B29" t="s">
        <v>92</v>
      </c>
      <c r="C29" s="12">
        <v>119</v>
      </c>
      <c r="D29" s="8">
        <v>6.32</v>
      </c>
      <c r="E29" s="12">
        <v>102</v>
      </c>
      <c r="F29" s="8">
        <v>14.91</v>
      </c>
      <c r="G29" s="12">
        <v>17</v>
      </c>
      <c r="H29" s="8">
        <v>1.44</v>
      </c>
      <c r="I29" s="12">
        <v>0</v>
      </c>
    </row>
    <row r="30" spans="2:9" ht="15" customHeight="1" x14ac:dyDescent="0.2">
      <c r="B30" t="s">
        <v>91</v>
      </c>
      <c r="C30" s="12">
        <v>91</v>
      </c>
      <c r="D30" s="8">
        <v>4.83</v>
      </c>
      <c r="E30" s="12">
        <v>45</v>
      </c>
      <c r="F30" s="8">
        <v>6.58</v>
      </c>
      <c r="G30" s="12">
        <v>45</v>
      </c>
      <c r="H30" s="8">
        <v>3.81</v>
      </c>
      <c r="I30" s="12">
        <v>1</v>
      </c>
    </row>
    <row r="31" spans="2:9" ht="15" customHeight="1" x14ac:dyDescent="0.2">
      <c r="B31" t="s">
        <v>80</v>
      </c>
      <c r="C31" s="12">
        <v>86</v>
      </c>
      <c r="D31" s="8">
        <v>4.5599999999999996</v>
      </c>
      <c r="E31" s="12">
        <v>34</v>
      </c>
      <c r="F31" s="8">
        <v>4.97</v>
      </c>
      <c r="G31" s="12">
        <v>52</v>
      </c>
      <c r="H31" s="8">
        <v>4.4000000000000004</v>
      </c>
      <c r="I31" s="12">
        <v>0</v>
      </c>
    </row>
    <row r="32" spans="2:9" ht="15" customHeight="1" x14ac:dyDescent="0.2">
      <c r="B32" t="s">
        <v>81</v>
      </c>
      <c r="C32" s="12">
        <v>85</v>
      </c>
      <c r="D32" s="8">
        <v>4.51</v>
      </c>
      <c r="E32" s="12">
        <v>45</v>
      </c>
      <c r="F32" s="8">
        <v>6.58</v>
      </c>
      <c r="G32" s="12">
        <v>39</v>
      </c>
      <c r="H32" s="8">
        <v>3.3</v>
      </c>
      <c r="I32" s="12">
        <v>1</v>
      </c>
    </row>
    <row r="33" spans="2:9" ht="15" customHeight="1" x14ac:dyDescent="0.2">
      <c r="B33" t="s">
        <v>84</v>
      </c>
      <c r="C33" s="12">
        <v>71</v>
      </c>
      <c r="D33" s="8">
        <v>3.77</v>
      </c>
      <c r="E33" s="12">
        <v>5</v>
      </c>
      <c r="F33" s="8">
        <v>0.73</v>
      </c>
      <c r="G33" s="12">
        <v>66</v>
      </c>
      <c r="H33" s="8">
        <v>5.58</v>
      </c>
      <c r="I33" s="12">
        <v>0</v>
      </c>
    </row>
    <row r="34" spans="2:9" ht="15" customHeight="1" x14ac:dyDescent="0.2">
      <c r="B34" t="s">
        <v>74</v>
      </c>
      <c r="C34" s="12">
        <v>56</v>
      </c>
      <c r="D34" s="8">
        <v>2.97</v>
      </c>
      <c r="E34" s="12">
        <v>8</v>
      </c>
      <c r="F34" s="8">
        <v>1.17</v>
      </c>
      <c r="G34" s="12">
        <v>48</v>
      </c>
      <c r="H34" s="8">
        <v>4.0599999999999996</v>
      </c>
      <c r="I34" s="12">
        <v>0</v>
      </c>
    </row>
    <row r="35" spans="2:9" ht="15" customHeight="1" x14ac:dyDescent="0.2">
      <c r="B35" t="s">
        <v>87</v>
      </c>
      <c r="C35" s="12">
        <v>45</v>
      </c>
      <c r="D35" s="8">
        <v>2.39</v>
      </c>
      <c r="E35" s="12">
        <v>20</v>
      </c>
      <c r="F35" s="8">
        <v>2.92</v>
      </c>
      <c r="G35" s="12">
        <v>25</v>
      </c>
      <c r="H35" s="8">
        <v>2.12</v>
      </c>
      <c r="I35" s="12">
        <v>0</v>
      </c>
    </row>
    <row r="36" spans="2:9" ht="15" customHeight="1" x14ac:dyDescent="0.2">
      <c r="B36" t="s">
        <v>79</v>
      </c>
      <c r="C36" s="12">
        <v>40</v>
      </c>
      <c r="D36" s="8">
        <v>2.12</v>
      </c>
      <c r="E36" s="12">
        <v>3</v>
      </c>
      <c r="F36" s="8">
        <v>0.44</v>
      </c>
      <c r="G36" s="12">
        <v>37</v>
      </c>
      <c r="H36" s="8">
        <v>3.13</v>
      </c>
      <c r="I36" s="12">
        <v>0</v>
      </c>
    </row>
    <row r="37" spans="2:9" ht="15" customHeight="1" x14ac:dyDescent="0.2">
      <c r="B37" t="s">
        <v>94</v>
      </c>
      <c r="C37" s="12">
        <v>36</v>
      </c>
      <c r="D37" s="8">
        <v>1.91</v>
      </c>
      <c r="E37" s="12">
        <v>3</v>
      </c>
      <c r="F37" s="8">
        <v>0.44</v>
      </c>
      <c r="G37" s="12">
        <v>33</v>
      </c>
      <c r="H37" s="8">
        <v>2.79</v>
      </c>
      <c r="I37" s="12">
        <v>0</v>
      </c>
    </row>
    <row r="38" spans="2:9" ht="15" customHeight="1" x14ac:dyDescent="0.2">
      <c r="B38" t="s">
        <v>90</v>
      </c>
      <c r="C38" s="12">
        <v>26</v>
      </c>
      <c r="D38" s="8">
        <v>1.38</v>
      </c>
      <c r="E38" s="12">
        <v>10</v>
      </c>
      <c r="F38" s="8">
        <v>1.46</v>
      </c>
      <c r="G38" s="12">
        <v>16</v>
      </c>
      <c r="H38" s="8">
        <v>1.35</v>
      </c>
      <c r="I38" s="12">
        <v>0</v>
      </c>
    </row>
    <row r="39" spans="2:9" ht="15" customHeight="1" x14ac:dyDescent="0.2">
      <c r="B39" t="s">
        <v>78</v>
      </c>
      <c r="C39" s="12">
        <v>24</v>
      </c>
      <c r="D39" s="8">
        <v>1.27</v>
      </c>
      <c r="E39" s="12">
        <v>0</v>
      </c>
      <c r="F39" s="8">
        <v>0</v>
      </c>
      <c r="G39" s="12">
        <v>24</v>
      </c>
      <c r="H39" s="8">
        <v>2.0299999999999998</v>
      </c>
      <c r="I39" s="12">
        <v>0</v>
      </c>
    </row>
    <row r="40" spans="2:9" ht="15" customHeight="1" x14ac:dyDescent="0.2">
      <c r="B40" t="s">
        <v>76</v>
      </c>
      <c r="C40" s="12">
        <v>22</v>
      </c>
      <c r="D40" s="8">
        <v>1.17</v>
      </c>
      <c r="E40" s="12">
        <v>6</v>
      </c>
      <c r="F40" s="8">
        <v>0.88</v>
      </c>
      <c r="G40" s="12">
        <v>16</v>
      </c>
      <c r="H40" s="8">
        <v>1.35</v>
      </c>
      <c r="I40" s="12">
        <v>0</v>
      </c>
    </row>
    <row r="41" spans="2:9" ht="15" customHeight="1" x14ac:dyDescent="0.2">
      <c r="B41" t="s">
        <v>107</v>
      </c>
      <c r="C41" s="12">
        <v>22</v>
      </c>
      <c r="D41" s="8">
        <v>1.17</v>
      </c>
      <c r="E41" s="12">
        <v>11</v>
      </c>
      <c r="F41" s="8">
        <v>1.61</v>
      </c>
      <c r="G41" s="12">
        <v>11</v>
      </c>
      <c r="H41" s="8">
        <v>0.93</v>
      </c>
      <c r="I41" s="12">
        <v>0</v>
      </c>
    </row>
    <row r="42" spans="2:9" ht="15" customHeight="1" x14ac:dyDescent="0.2">
      <c r="B42" t="s">
        <v>101</v>
      </c>
      <c r="C42" s="12">
        <v>21</v>
      </c>
      <c r="D42" s="8">
        <v>1.1100000000000001</v>
      </c>
      <c r="E42" s="12">
        <v>2</v>
      </c>
      <c r="F42" s="8">
        <v>0.28999999999999998</v>
      </c>
      <c r="G42" s="12">
        <v>19</v>
      </c>
      <c r="H42" s="8">
        <v>1.61</v>
      </c>
      <c r="I42" s="12">
        <v>0</v>
      </c>
    </row>
    <row r="43" spans="2:9" ht="15" customHeight="1" x14ac:dyDescent="0.2">
      <c r="B43" t="s">
        <v>75</v>
      </c>
      <c r="C43" s="12">
        <v>19</v>
      </c>
      <c r="D43" s="8">
        <v>1.01</v>
      </c>
      <c r="E43" s="12">
        <v>4</v>
      </c>
      <c r="F43" s="8">
        <v>0.57999999999999996</v>
      </c>
      <c r="G43" s="12">
        <v>15</v>
      </c>
      <c r="H43" s="8">
        <v>1.27</v>
      </c>
      <c r="I43" s="12">
        <v>0</v>
      </c>
    </row>
    <row r="44" spans="2:9" ht="15" customHeight="1" x14ac:dyDescent="0.2">
      <c r="B44" t="s">
        <v>106</v>
      </c>
      <c r="C44" s="12">
        <v>19</v>
      </c>
      <c r="D44" s="8">
        <v>1.01</v>
      </c>
      <c r="E44" s="12">
        <v>1</v>
      </c>
      <c r="F44" s="8">
        <v>0.15</v>
      </c>
      <c r="G44" s="12">
        <v>18</v>
      </c>
      <c r="H44" s="8">
        <v>1.52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132</v>
      </c>
      <c r="C48" s="12">
        <v>145</v>
      </c>
      <c r="D48" s="8">
        <v>7.7</v>
      </c>
      <c r="E48" s="12">
        <v>6</v>
      </c>
      <c r="F48" s="8">
        <v>0.88</v>
      </c>
      <c r="G48" s="12">
        <v>138</v>
      </c>
      <c r="H48" s="8">
        <v>11.68</v>
      </c>
      <c r="I48" s="12">
        <v>1</v>
      </c>
    </row>
    <row r="49" spans="2:9" ht="15" customHeight="1" x14ac:dyDescent="0.2">
      <c r="B49" t="s">
        <v>141</v>
      </c>
      <c r="C49" s="12">
        <v>89</v>
      </c>
      <c r="D49" s="8">
        <v>4.72</v>
      </c>
      <c r="E49" s="12">
        <v>77</v>
      </c>
      <c r="F49" s="8">
        <v>11.26</v>
      </c>
      <c r="G49" s="12">
        <v>12</v>
      </c>
      <c r="H49" s="8">
        <v>1.02</v>
      </c>
      <c r="I49" s="12">
        <v>0</v>
      </c>
    </row>
    <row r="50" spans="2:9" ht="15" customHeight="1" x14ac:dyDescent="0.2">
      <c r="B50" t="s">
        <v>138</v>
      </c>
      <c r="C50" s="12">
        <v>87</v>
      </c>
      <c r="D50" s="8">
        <v>4.62</v>
      </c>
      <c r="E50" s="12">
        <v>72</v>
      </c>
      <c r="F50" s="8">
        <v>10.53</v>
      </c>
      <c r="G50" s="12">
        <v>15</v>
      </c>
      <c r="H50" s="8">
        <v>1.27</v>
      </c>
      <c r="I50" s="12">
        <v>0</v>
      </c>
    </row>
    <row r="51" spans="2:9" ht="15" customHeight="1" x14ac:dyDescent="0.2">
      <c r="B51" t="s">
        <v>133</v>
      </c>
      <c r="C51" s="12">
        <v>64</v>
      </c>
      <c r="D51" s="8">
        <v>3.4</v>
      </c>
      <c r="E51" s="12">
        <v>47</v>
      </c>
      <c r="F51" s="8">
        <v>6.87</v>
      </c>
      <c r="G51" s="12">
        <v>17</v>
      </c>
      <c r="H51" s="8">
        <v>1.44</v>
      </c>
      <c r="I51" s="12">
        <v>0</v>
      </c>
    </row>
    <row r="52" spans="2:9" ht="15" customHeight="1" x14ac:dyDescent="0.2">
      <c r="B52" t="s">
        <v>130</v>
      </c>
      <c r="C52" s="12">
        <v>61</v>
      </c>
      <c r="D52" s="8">
        <v>3.24</v>
      </c>
      <c r="E52" s="12">
        <v>3</v>
      </c>
      <c r="F52" s="8">
        <v>0.44</v>
      </c>
      <c r="G52" s="12">
        <v>58</v>
      </c>
      <c r="H52" s="8">
        <v>4.91</v>
      </c>
      <c r="I52" s="12">
        <v>0</v>
      </c>
    </row>
    <row r="53" spans="2:9" ht="15" customHeight="1" x14ac:dyDescent="0.2">
      <c r="B53" t="s">
        <v>125</v>
      </c>
      <c r="C53" s="12">
        <v>58</v>
      </c>
      <c r="D53" s="8">
        <v>3.08</v>
      </c>
      <c r="E53" s="12">
        <v>22</v>
      </c>
      <c r="F53" s="8">
        <v>3.22</v>
      </c>
      <c r="G53" s="12">
        <v>36</v>
      </c>
      <c r="H53" s="8">
        <v>3.05</v>
      </c>
      <c r="I53" s="12">
        <v>0</v>
      </c>
    </row>
    <row r="54" spans="2:9" ht="15" customHeight="1" x14ac:dyDescent="0.2">
      <c r="B54" t="s">
        <v>143</v>
      </c>
      <c r="C54" s="12">
        <v>58</v>
      </c>
      <c r="D54" s="8">
        <v>3.08</v>
      </c>
      <c r="E54" s="12">
        <v>4</v>
      </c>
      <c r="F54" s="8">
        <v>0.57999999999999996</v>
      </c>
      <c r="G54" s="12">
        <v>52</v>
      </c>
      <c r="H54" s="8">
        <v>4.4000000000000004</v>
      </c>
      <c r="I54" s="12">
        <v>2</v>
      </c>
    </row>
    <row r="55" spans="2:9" ht="15" customHeight="1" x14ac:dyDescent="0.2">
      <c r="B55" t="s">
        <v>140</v>
      </c>
      <c r="C55" s="12">
        <v>57</v>
      </c>
      <c r="D55" s="8">
        <v>3.03</v>
      </c>
      <c r="E55" s="12">
        <v>34</v>
      </c>
      <c r="F55" s="8">
        <v>4.97</v>
      </c>
      <c r="G55" s="12">
        <v>23</v>
      </c>
      <c r="H55" s="8">
        <v>1.95</v>
      </c>
      <c r="I55" s="12">
        <v>0</v>
      </c>
    </row>
    <row r="56" spans="2:9" ht="15" customHeight="1" x14ac:dyDescent="0.2">
      <c r="B56" t="s">
        <v>131</v>
      </c>
      <c r="C56" s="12">
        <v>55</v>
      </c>
      <c r="D56" s="8">
        <v>2.92</v>
      </c>
      <c r="E56" s="12">
        <v>2</v>
      </c>
      <c r="F56" s="8">
        <v>0.28999999999999998</v>
      </c>
      <c r="G56" s="12">
        <v>53</v>
      </c>
      <c r="H56" s="8">
        <v>4.4800000000000004</v>
      </c>
      <c r="I56" s="12">
        <v>0</v>
      </c>
    </row>
    <row r="57" spans="2:9" ht="15" customHeight="1" x14ac:dyDescent="0.2">
      <c r="B57" t="s">
        <v>129</v>
      </c>
      <c r="C57" s="12">
        <v>47</v>
      </c>
      <c r="D57" s="8">
        <v>2.4900000000000002</v>
      </c>
      <c r="E57" s="12">
        <v>26</v>
      </c>
      <c r="F57" s="8">
        <v>3.8</v>
      </c>
      <c r="G57" s="12">
        <v>21</v>
      </c>
      <c r="H57" s="8">
        <v>1.78</v>
      </c>
      <c r="I57" s="12">
        <v>0</v>
      </c>
    </row>
    <row r="58" spans="2:9" ht="15" customHeight="1" x14ac:dyDescent="0.2">
      <c r="B58" t="s">
        <v>147</v>
      </c>
      <c r="C58" s="12">
        <v>38</v>
      </c>
      <c r="D58" s="8">
        <v>2.02</v>
      </c>
      <c r="E58" s="12">
        <v>1</v>
      </c>
      <c r="F58" s="8">
        <v>0.15</v>
      </c>
      <c r="G58" s="12">
        <v>37</v>
      </c>
      <c r="H58" s="8">
        <v>3.13</v>
      </c>
      <c r="I58" s="12">
        <v>0</v>
      </c>
    </row>
    <row r="59" spans="2:9" ht="15" customHeight="1" x14ac:dyDescent="0.2">
      <c r="B59" t="s">
        <v>166</v>
      </c>
      <c r="C59" s="12">
        <v>36</v>
      </c>
      <c r="D59" s="8">
        <v>1.91</v>
      </c>
      <c r="E59" s="12">
        <v>25</v>
      </c>
      <c r="F59" s="8">
        <v>3.65</v>
      </c>
      <c r="G59" s="12">
        <v>11</v>
      </c>
      <c r="H59" s="8">
        <v>0.93</v>
      </c>
      <c r="I59" s="12">
        <v>0</v>
      </c>
    </row>
    <row r="60" spans="2:9" ht="15" customHeight="1" x14ac:dyDescent="0.2">
      <c r="B60" t="s">
        <v>148</v>
      </c>
      <c r="C60" s="12">
        <v>35</v>
      </c>
      <c r="D60" s="8">
        <v>1.86</v>
      </c>
      <c r="E60" s="12">
        <v>1</v>
      </c>
      <c r="F60" s="8">
        <v>0.15</v>
      </c>
      <c r="G60" s="12">
        <v>34</v>
      </c>
      <c r="H60" s="8">
        <v>2.88</v>
      </c>
      <c r="I60" s="12">
        <v>0</v>
      </c>
    </row>
    <row r="61" spans="2:9" ht="15" customHeight="1" x14ac:dyDescent="0.2">
      <c r="B61" t="s">
        <v>136</v>
      </c>
      <c r="C61" s="12">
        <v>35</v>
      </c>
      <c r="D61" s="8">
        <v>1.86</v>
      </c>
      <c r="E61" s="12">
        <v>27</v>
      </c>
      <c r="F61" s="8">
        <v>3.95</v>
      </c>
      <c r="G61" s="12">
        <v>8</v>
      </c>
      <c r="H61" s="8">
        <v>0.68</v>
      </c>
      <c r="I61" s="12">
        <v>0</v>
      </c>
    </row>
    <row r="62" spans="2:9" ht="15" customHeight="1" x14ac:dyDescent="0.2">
      <c r="B62" t="s">
        <v>146</v>
      </c>
      <c r="C62" s="12">
        <v>31</v>
      </c>
      <c r="D62" s="8">
        <v>1.65</v>
      </c>
      <c r="E62" s="12">
        <v>6</v>
      </c>
      <c r="F62" s="8">
        <v>0.88</v>
      </c>
      <c r="G62" s="12">
        <v>25</v>
      </c>
      <c r="H62" s="8">
        <v>2.12</v>
      </c>
      <c r="I62" s="12">
        <v>0</v>
      </c>
    </row>
    <row r="63" spans="2:9" ht="15" customHeight="1" x14ac:dyDescent="0.2">
      <c r="B63" t="s">
        <v>151</v>
      </c>
      <c r="C63" s="12">
        <v>30</v>
      </c>
      <c r="D63" s="8">
        <v>1.59</v>
      </c>
      <c r="E63" s="12">
        <v>13</v>
      </c>
      <c r="F63" s="8">
        <v>1.9</v>
      </c>
      <c r="G63" s="12">
        <v>17</v>
      </c>
      <c r="H63" s="8">
        <v>1.44</v>
      </c>
      <c r="I63" s="12">
        <v>0</v>
      </c>
    </row>
    <row r="64" spans="2:9" ht="15" customHeight="1" x14ac:dyDescent="0.2">
      <c r="B64" t="s">
        <v>160</v>
      </c>
      <c r="C64" s="12">
        <v>29</v>
      </c>
      <c r="D64" s="8">
        <v>1.54</v>
      </c>
      <c r="E64" s="12">
        <v>3</v>
      </c>
      <c r="F64" s="8">
        <v>0.44</v>
      </c>
      <c r="G64" s="12">
        <v>26</v>
      </c>
      <c r="H64" s="8">
        <v>2.2000000000000002</v>
      </c>
      <c r="I64" s="12">
        <v>0</v>
      </c>
    </row>
    <row r="65" spans="2:9" ht="15" customHeight="1" x14ac:dyDescent="0.2">
      <c r="B65" t="s">
        <v>126</v>
      </c>
      <c r="C65" s="12">
        <v>26</v>
      </c>
      <c r="D65" s="8">
        <v>1.38</v>
      </c>
      <c r="E65" s="12">
        <v>11</v>
      </c>
      <c r="F65" s="8">
        <v>1.61</v>
      </c>
      <c r="G65" s="12">
        <v>14</v>
      </c>
      <c r="H65" s="8">
        <v>1.18</v>
      </c>
      <c r="I65" s="12">
        <v>1</v>
      </c>
    </row>
    <row r="66" spans="2:9" ht="15" customHeight="1" x14ac:dyDescent="0.2">
      <c r="B66" t="s">
        <v>128</v>
      </c>
      <c r="C66" s="12">
        <v>26</v>
      </c>
      <c r="D66" s="8">
        <v>1.38</v>
      </c>
      <c r="E66" s="12">
        <v>9</v>
      </c>
      <c r="F66" s="8">
        <v>1.32</v>
      </c>
      <c r="G66" s="12">
        <v>17</v>
      </c>
      <c r="H66" s="8">
        <v>1.44</v>
      </c>
      <c r="I66" s="12">
        <v>0</v>
      </c>
    </row>
    <row r="67" spans="2:9" ht="15" customHeight="1" x14ac:dyDescent="0.2">
      <c r="B67" t="s">
        <v>167</v>
      </c>
      <c r="C67" s="12">
        <v>25</v>
      </c>
      <c r="D67" s="8">
        <v>1.33</v>
      </c>
      <c r="E67" s="12">
        <v>24</v>
      </c>
      <c r="F67" s="8">
        <v>3.51</v>
      </c>
      <c r="G67" s="12">
        <v>1</v>
      </c>
      <c r="H67" s="8">
        <v>0.08</v>
      </c>
      <c r="I67" s="12">
        <v>0</v>
      </c>
    </row>
    <row r="69" spans="2:9" ht="15" customHeight="1" x14ac:dyDescent="0.2">
      <c r="B69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32BA2-42C6-4763-A03F-6BD8D608988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235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465</v>
      </c>
      <c r="D6" s="8">
        <v>14.8</v>
      </c>
      <c r="E6" s="12">
        <v>81</v>
      </c>
      <c r="F6" s="8">
        <v>5.63</v>
      </c>
      <c r="G6" s="12">
        <v>384</v>
      </c>
      <c r="H6" s="8">
        <v>22.7</v>
      </c>
      <c r="I6" s="12">
        <v>0</v>
      </c>
    </row>
    <row r="7" spans="2:9" ht="15" customHeight="1" x14ac:dyDescent="0.2">
      <c r="B7" t="s">
        <v>53</v>
      </c>
      <c r="C7" s="12">
        <v>242</v>
      </c>
      <c r="D7" s="8">
        <v>7.7</v>
      </c>
      <c r="E7" s="12">
        <v>61</v>
      </c>
      <c r="F7" s="8">
        <v>4.24</v>
      </c>
      <c r="G7" s="12">
        <v>181</v>
      </c>
      <c r="H7" s="8">
        <v>10.7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32</v>
      </c>
      <c r="D9" s="8">
        <v>1.02</v>
      </c>
      <c r="E9" s="12">
        <v>2</v>
      </c>
      <c r="F9" s="8">
        <v>0.14000000000000001</v>
      </c>
      <c r="G9" s="12">
        <v>30</v>
      </c>
      <c r="H9" s="8">
        <v>1.77</v>
      </c>
      <c r="I9" s="12">
        <v>0</v>
      </c>
    </row>
    <row r="10" spans="2:9" ht="15" customHeight="1" x14ac:dyDescent="0.2">
      <c r="B10" t="s">
        <v>56</v>
      </c>
      <c r="C10" s="12">
        <v>28</v>
      </c>
      <c r="D10" s="8">
        <v>0.89</v>
      </c>
      <c r="E10" s="12">
        <v>3</v>
      </c>
      <c r="F10" s="8">
        <v>0.21</v>
      </c>
      <c r="G10" s="12">
        <v>25</v>
      </c>
      <c r="H10" s="8">
        <v>1.48</v>
      </c>
      <c r="I10" s="12">
        <v>0</v>
      </c>
    </row>
    <row r="11" spans="2:9" ht="15" customHeight="1" x14ac:dyDescent="0.2">
      <c r="B11" t="s">
        <v>57</v>
      </c>
      <c r="C11" s="12">
        <v>654</v>
      </c>
      <c r="D11" s="8">
        <v>20.82</v>
      </c>
      <c r="E11" s="12">
        <v>299</v>
      </c>
      <c r="F11" s="8">
        <v>20.76</v>
      </c>
      <c r="G11" s="12">
        <v>353</v>
      </c>
      <c r="H11" s="8">
        <v>20.86</v>
      </c>
      <c r="I11" s="12">
        <v>2</v>
      </c>
    </row>
    <row r="12" spans="2:9" ht="15" customHeight="1" x14ac:dyDescent="0.2">
      <c r="B12" t="s">
        <v>58</v>
      </c>
      <c r="C12" s="12">
        <v>10</v>
      </c>
      <c r="D12" s="8">
        <v>0.32</v>
      </c>
      <c r="E12" s="12">
        <v>0</v>
      </c>
      <c r="F12" s="8">
        <v>0</v>
      </c>
      <c r="G12" s="12">
        <v>10</v>
      </c>
      <c r="H12" s="8">
        <v>0.59</v>
      </c>
      <c r="I12" s="12">
        <v>0</v>
      </c>
    </row>
    <row r="13" spans="2:9" ht="15" customHeight="1" x14ac:dyDescent="0.2">
      <c r="B13" t="s">
        <v>59</v>
      </c>
      <c r="C13" s="12">
        <v>394</v>
      </c>
      <c r="D13" s="8">
        <v>12.54</v>
      </c>
      <c r="E13" s="12">
        <v>55</v>
      </c>
      <c r="F13" s="8">
        <v>3.82</v>
      </c>
      <c r="G13" s="12">
        <v>338</v>
      </c>
      <c r="H13" s="8">
        <v>19.98</v>
      </c>
      <c r="I13" s="12">
        <v>0</v>
      </c>
    </row>
    <row r="14" spans="2:9" ht="15" customHeight="1" x14ac:dyDescent="0.2">
      <c r="B14" t="s">
        <v>60</v>
      </c>
      <c r="C14" s="12">
        <v>146</v>
      </c>
      <c r="D14" s="8">
        <v>4.6500000000000004</v>
      </c>
      <c r="E14" s="12">
        <v>69</v>
      </c>
      <c r="F14" s="8">
        <v>4.79</v>
      </c>
      <c r="G14" s="12">
        <v>77</v>
      </c>
      <c r="H14" s="8">
        <v>4.55</v>
      </c>
      <c r="I14" s="12">
        <v>0</v>
      </c>
    </row>
    <row r="15" spans="2:9" ht="15" customHeight="1" x14ac:dyDescent="0.2">
      <c r="B15" t="s">
        <v>61</v>
      </c>
      <c r="C15" s="12">
        <v>422</v>
      </c>
      <c r="D15" s="8">
        <v>13.44</v>
      </c>
      <c r="E15" s="12">
        <v>356</v>
      </c>
      <c r="F15" s="8">
        <v>24.72</v>
      </c>
      <c r="G15" s="12">
        <v>65</v>
      </c>
      <c r="H15" s="8">
        <v>3.84</v>
      </c>
      <c r="I15" s="12">
        <v>0</v>
      </c>
    </row>
    <row r="16" spans="2:9" ht="15" customHeight="1" x14ac:dyDescent="0.2">
      <c r="B16" t="s">
        <v>62</v>
      </c>
      <c r="C16" s="12">
        <v>365</v>
      </c>
      <c r="D16" s="8">
        <v>11.62</v>
      </c>
      <c r="E16" s="12">
        <v>286</v>
      </c>
      <c r="F16" s="8">
        <v>19.86</v>
      </c>
      <c r="G16" s="12">
        <v>79</v>
      </c>
      <c r="H16" s="8">
        <v>4.67</v>
      </c>
      <c r="I16" s="12">
        <v>0</v>
      </c>
    </row>
    <row r="17" spans="2:9" ht="15" customHeight="1" x14ac:dyDescent="0.2">
      <c r="B17" t="s">
        <v>63</v>
      </c>
      <c r="C17" s="12">
        <v>137</v>
      </c>
      <c r="D17" s="8">
        <v>4.3600000000000003</v>
      </c>
      <c r="E17" s="12">
        <v>96</v>
      </c>
      <c r="F17" s="8">
        <v>6.67</v>
      </c>
      <c r="G17" s="12">
        <v>37</v>
      </c>
      <c r="H17" s="8">
        <v>2.19</v>
      </c>
      <c r="I17" s="12">
        <v>1</v>
      </c>
    </row>
    <row r="18" spans="2:9" ht="15" customHeight="1" x14ac:dyDescent="0.2">
      <c r="B18" t="s">
        <v>64</v>
      </c>
      <c r="C18" s="12">
        <v>170</v>
      </c>
      <c r="D18" s="8">
        <v>5.41</v>
      </c>
      <c r="E18" s="12">
        <v>106</v>
      </c>
      <c r="F18" s="8">
        <v>7.36</v>
      </c>
      <c r="G18" s="12">
        <v>64</v>
      </c>
      <c r="H18" s="8">
        <v>3.78</v>
      </c>
      <c r="I18" s="12">
        <v>0</v>
      </c>
    </row>
    <row r="19" spans="2:9" ht="15" customHeight="1" x14ac:dyDescent="0.2">
      <c r="B19" t="s">
        <v>65</v>
      </c>
      <c r="C19" s="12">
        <v>76</v>
      </c>
      <c r="D19" s="8">
        <v>2.42</v>
      </c>
      <c r="E19" s="12">
        <v>26</v>
      </c>
      <c r="F19" s="8">
        <v>1.81</v>
      </c>
      <c r="G19" s="12">
        <v>49</v>
      </c>
      <c r="H19" s="8">
        <v>2.9</v>
      </c>
      <c r="I19" s="12">
        <v>0</v>
      </c>
    </row>
    <row r="20" spans="2:9" ht="15" customHeight="1" x14ac:dyDescent="0.2">
      <c r="B20" s="9" t="s">
        <v>215</v>
      </c>
      <c r="C20" s="12">
        <f>SUM(LTBL_28207[総数／事業所数])</f>
        <v>3141</v>
      </c>
      <c r="E20" s="12">
        <f>SUBTOTAL(109,LTBL_28207[個人／事業所数])</f>
        <v>1440</v>
      </c>
      <c r="G20" s="12">
        <f>SUBTOTAL(109,LTBL_28207[法人／事業所数])</f>
        <v>1692</v>
      </c>
      <c r="I20" s="12">
        <f>SUBTOTAL(109,LTBL_28207[法人以外の団体／事業所数])</f>
        <v>3</v>
      </c>
    </row>
    <row r="21" spans="2:9" ht="15" customHeight="1" x14ac:dyDescent="0.2">
      <c r="E21" s="11">
        <f>LTBL_28207[[#Totals],[個人／事業所数]]/LTBL_28207[[#Totals],[総数／事業所数]]</f>
        <v>0.45845272206303728</v>
      </c>
      <c r="G21" s="11">
        <f>LTBL_28207[[#Totals],[法人／事業所数]]/LTBL_28207[[#Totals],[総数／事業所数]]</f>
        <v>0.5386819484240688</v>
      </c>
      <c r="I21" s="11">
        <f>LTBL_28207[[#Totals],[法人以外の団体／事業所数]]/LTBL_28207[[#Totals],[総数／事業所数]]</f>
        <v>9.5510983763132757E-4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390</v>
      </c>
      <c r="D24" s="8">
        <v>12.42</v>
      </c>
      <c r="E24" s="12">
        <v>351</v>
      </c>
      <c r="F24" s="8">
        <v>24.38</v>
      </c>
      <c r="G24" s="12">
        <v>39</v>
      </c>
      <c r="H24" s="8">
        <v>2.2999999999999998</v>
      </c>
      <c r="I24" s="12">
        <v>0</v>
      </c>
    </row>
    <row r="25" spans="2:9" ht="15" customHeight="1" x14ac:dyDescent="0.2">
      <c r="B25" t="s">
        <v>89</v>
      </c>
      <c r="C25" s="12">
        <v>306</v>
      </c>
      <c r="D25" s="8">
        <v>9.74</v>
      </c>
      <c r="E25" s="12">
        <v>256</v>
      </c>
      <c r="F25" s="8">
        <v>17.78</v>
      </c>
      <c r="G25" s="12">
        <v>50</v>
      </c>
      <c r="H25" s="8">
        <v>2.96</v>
      </c>
      <c r="I25" s="12">
        <v>0</v>
      </c>
    </row>
    <row r="26" spans="2:9" ht="15" customHeight="1" x14ac:dyDescent="0.2">
      <c r="B26" t="s">
        <v>85</v>
      </c>
      <c r="C26" s="12">
        <v>297</v>
      </c>
      <c r="D26" s="8">
        <v>9.4600000000000009</v>
      </c>
      <c r="E26" s="12">
        <v>45</v>
      </c>
      <c r="F26" s="8">
        <v>3.13</v>
      </c>
      <c r="G26" s="12">
        <v>251</v>
      </c>
      <c r="H26" s="8">
        <v>14.83</v>
      </c>
      <c r="I26" s="12">
        <v>0</v>
      </c>
    </row>
    <row r="27" spans="2:9" ht="15" customHeight="1" x14ac:dyDescent="0.2">
      <c r="B27" t="s">
        <v>74</v>
      </c>
      <c r="C27" s="12">
        <v>190</v>
      </c>
      <c r="D27" s="8">
        <v>6.05</v>
      </c>
      <c r="E27" s="12">
        <v>25</v>
      </c>
      <c r="F27" s="8">
        <v>1.74</v>
      </c>
      <c r="G27" s="12">
        <v>165</v>
      </c>
      <c r="H27" s="8">
        <v>9.75</v>
      </c>
      <c r="I27" s="12">
        <v>0</v>
      </c>
    </row>
    <row r="28" spans="2:9" ht="15" customHeight="1" x14ac:dyDescent="0.2">
      <c r="B28" t="s">
        <v>83</v>
      </c>
      <c r="C28" s="12">
        <v>164</v>
      </c>
      <c r="D28" s="8">
        <v>5.22</v>
      </c>
      <c r="E28" s="12">
        <v>89</v>
      </c>
      <c r="F28" s="8">
        <v>6.18</v>
      </c>
      <c r="G28" s="12">
        <v>74</v>
      </c>
      <c r="H28" s="8">
        <v>4.37</v>
      </c>
      <c r="I28" s="12">
        <v>1</v>
      </c>
    </row>
    <row r="29" spans="2:9" ht="15" customHeight="1" x14ac:dyDescent="0.2">
      <c r="B29" t="s">
        <v>76</v>
      </c>
      <c r="C29" s="12">
        <v>144</v>
      </c>
      <c r="D29" s="8">
        <v>4.58</v>
      </c>
      <c r="E29" s="12">
        <v>22</v>
      </c>
      <c r="F29" s="8">
        <v>1.53</v>
      </c>
      <c r="G29" s="12">
        <v>122</v>
      </c>
      <c r="H29" s="8">
        <v>7.21</v>
      </c>
      <c r="I29" s="12">
        <v>0</v>
      </c>
    </row>
    <row r="30" spans="2:9" ht="15" customHeight="1" x14ac:dyDescent="0.2">
      <c r="B30" t="s">
        <v>91</v>
      </c>
      <c r="C30" s="12">
        <v>137</v>
      </c>
      <c r="D30" s="8">
        <v>4.3600000000000003</v>
      </c>
      <c r="E30" s="12">
        <v>96</v>
      </c>
      <c r="F30" s="8">
        <v>6.67</v>
      </c>
      <c r="G30" s="12">
        <v>37</v>
      </c>
      <c r="H30" s="8">
        <v>2.19</v>
      </c>
      <c r="I30" s="12">
        <v>1</v>
      </c>
    </row>
    <row r="31" spans="2:9" ht="15" customHeight="1" x14ac:dyDescent="0.2">
      <c r="B31" t="s">
        <v>75</v>
      </c>
      <c r="C31" s="12">
        <v>131</v>
      </c>
      <c r="D31" s="8">
        <v>4.17</v>
      </c>
      <c r="E31" s="12">
        <v>34</v>
      </c>
      <c r="F31" s="8">
        <v>2.36</v>
      </c>
      <c r="G31" s="12">
        <v>97</v>
      </c>
      <c r="H31" s="8">
        <v>5.73</v>
      </c>
      <c r="I31" s="12">
        <v>0</v>
      </c>
    </row>
    <row r="32" spans="2:9" ht="15" customHeight="1" x14ac:dyDescent="0.2">
      <c r="B32" t="s">
        <v>92</v>
      </c>
      <c r="C32" s="12">
        <v>123</v>
      </c>
      <c r="D32" s="8">
        <v>3.92</v>
      </c>
      <c r="E32" s="12">
        <v>106</v>
      </c>
      <c r="F32" s="8">
        <v>7.36</v>
      </c>
      <c r="G32" s="12">
        <v>17</v>
      </c>
      <c r="H32" s="8">
        <v>1</v>
      </c>
      <c r="I32" s="12">
        <v>0</v>
      </c>
    </row>
    <row r="33" spans="2:9" ht="15" customHeight="1" x14ac:dyDescent="0.2">
      <c r="B33" t="s">
        <v>81</v>
      </c>
      <c r="C33" s="12">
        <v>117</v>
      </c>
      <c r="D33" s="8">
        <v>3.72</v>
      </c>
      <c r="E33" s="12">
        <v>81</v>
      </c>
      <c r="F33" s="8">
        <v>5.63</v>
      </c>
      <c r="G33" s="12">
        <v>35</v>
      </c>
      <c r="H33" s="8">
        <v>2.0699999999999998</v>
      </c>
      <c r="I33" s="12">
        <v>1</v>
      </c>
    </row>
    <row r="34" spans="2:9" ht="15" customHeight="1" x14ac:dyDescent="0.2">
      <c r="B34" t="s">
        <v>82</v>
      </c>
      <c r="C34" s="12">
        <v>105</v>
      </c>
      <c r="D34" s="8">
        <v>3.34</v>
      </c>
      <c r="E34" s="12">
        <v>58</v>
      </c>
      <c r="F34" s="8">
        <v>4.03</v>
      </c>
      <c r="G34" s="12">
        <v>47</v>
      </c>
      <c r="H34" s="8">
        <v>2.78</v>
      </c>
      <c r="I34" s="12">
        <v>0</v>
      </c>
    </row>
    <row r="35" spans="2:9" ht="15" customHeight="1" x14ac:dyDescent="0.2">
      <c r="B35" t="s">
        <v>86</v>
      </c>
      <c r="C35" s="12">
        <v>96</v>
      </c>
      <c r="D35" s="8">
        <v>3.06</v>
      </c>
      <c r="E35" s="12">
        <v>48</v>
      </c>
      <c r="F35" s="8">
        <v>3.33</v>
      </c>
      <c r="G35" s="12">
        <v>48</v>
      </c>
      <c r="H35" s="8">
        <v>2.84</v>
      </c>
      <c r="I35" s="12">
        <v>0</v>
      </c>
    </row>
    <row r="36" spans="2:9" ht="15" customHeight="1" x14ac:dyDescent="0.2">
      <c r="B36" t="s">
        <v>84</v>
      </c>
      <c r="C36" s="12">
        <v>75</v>
      </c>
      <c r="D36" s="8">
        <v>2.39</v>
      </c>
      <c r="E36" s="12">
        <v>9</v>
      </c>
      <c r="F36" s="8">
        <v>0.63</v>
      </c>
      <c r="G36" s="12">
        <v>66</v>
      </c>
      <c r="H36" s="8">
        <v>3.9</v>
      </c>
      <c r="I36" s="12">
        <v>0</v>
      </c>
    </row>
    <row r="37" spans="2:9" ht="15" customHeight="1" x14ac:dyDescent="0.2">
      <c r="B37" t="s">
        <v>80</v>
      </c>
      <c r="C37" s="12">
        <v>68</v>
      </c>
      <c r="D37" s="8">
        <v>2.16</v>
      </c>
      <c r="E37" s="12">
        <v>24</v>
      </c>
      <c r="F37" s="8">
        <v>1.67</v>
      </c>
      <c r="G37" s="12">
        <v>44</v>
      </c>
      <c r="H37" s="8">
        <v>2.6</v>
      </c>
      <c r="I37" s="12">
        <v>0</v>
      </c>
    </row>
    <row r="38" spans="2:9" ht="15" customHeight="1" x14ac:dyDescent="0.2">
      <c r="B38" t="s">
        <v>100</v>
      </c>
      <c r="C38" s="12">
        <v>47</v>
      </c>
      <c r="D38" s="8">
        <v>1.5</v>
      </c>
      <c r="E38" s="12">
        <v>9</v>
      </c>
      <c r="F38" s="8">
        <v>0.63</v>
      </c>
      <c r="G38" s="12">
        <v>38</v>
      </c>
      <c r="H38" s="8">
        <v>2.25</v>
      </c>
      <c r="I38" s="12">
        <v>0</v>
      </c>
    </row>
    <row r="39" spans="2:9" ht="15" customHeight="1" x14ac:dyDescent="0.2">
      <c r="B39" t="s">
        <v>93</v>
      </c>
      <c r="C39" s="12">
        <v>47</v>
      </c>
      <c r="D39" s="8">
        <v>1.5</v>
      </c>
      <c r="E39" s="12">
        <v>0</v>
      </c>
      <c r="F39" s="8">
        <v>0</v>
      </c>
      <c r="G39" s="12">
        <v>47</v>
      </c>
      <c r="H39" s="8">
        <v>2.78</v>
      </c>
      <c r="I39" s="12">
        <v>0</v>
      </c>
    </row>
    <row r="40" spans="2:9" ht="15" customHeight="1" x14ac:dyDescent="0.2">
      <c r="B40" t="s">
        <v>97</v>
      </c>
      <c r="C40" s="12">
        <v>46</v>
      </c>
      <c r="D40" s="8">
        <v>1.46</v>
      </c>
      <c r="E40" s="12">
        <v>13</v>
      </c>
      <c r="F40" s="8">
        <v>0.9</v>
      </c>
      <c r="G40" s="12">
        <v>33</v>
      </c>
      <c r="H40" s="8">
        <v>1.95</v>
      </c>
      <c r="I40" s="12">
        <v>0</v>
      </c>
    </row>
    <row r="41" spans="2:9" ht="15" customHeight="1" x14ac:dyDescent="0.2">
      <c r="B41" t="s">
        <v>87</v>
      </c>
      <c r="C41" s="12">
        <v>45</v>
      </c>
      <c r="D41" s="8">
        <v>1.43</v>
      </c>
      <c r="E41" s="12">
        <v>21</v>
      </c>
      <c r="F41" s="8">
        <v>1.46</v>
      </c>
      <c r="G41" s="12">
        <v>24</v>
      </c>
      <c r="H41" s="8">
        <v>1.42</v>
      </c>
      <c r="I41" s="12">
        <v>0</v>
      </c>
    </row>
    <row r="42" spans="2:9" ht="15" customHeight="1" x14ac:dyDescent="0.2">
      <c r="B42" t="s">
        <v>77</v>
      </c>
      <c r="C42" s="12">
        <v>44</v>
      </c>
      <c r="D42" s="8">
        <v>1.4</v>
      </c>
      <c r="E42" s="12">
        <v>7</v>
      </c>
      <c r="F42" s="8">
        <v>0.49</v>
      </c>
      <c r="G42" s="12">
        <v>37</v>
      </c>
      <c r="H42" s="8">
        <v>2.19</v>
      </c>
      <c r="I42" s="12">
        <v>0</v>
      </c>
    </row>
    <row r="43" spans="2:9" ht="15" customHeight="1" x14ac:dyDescent="0.2">
      <c r="B43" t="s">
        <v>78</v>
      </c>
      <c r="C43" s="12">
        <v>40</v>
      </c>
      <c r="D43" s="8">
        <v>1.27</v>
      </c>
      <c r="E43" s="12">
        <v>3</v>
      </c>
      <c r="F43" s="8">
        <v>0.21</v>
      </c>
      <c r="G43" s="12">
        <v>37</v>
      </c>
      <c r="H43" s="8">
        <v>2.19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161</v>
      </c>
      <c r="D47" s="8">
        <v>5.13</v>
      </c>
      <c r="E47" s="12">
        <v>148</v>
      </c>
      <c r="F47" s="8">
        <v>10.28</v>
      </c>
      <c r="G47" s="12">
        <v>13</v>
      </c>
      <c r="H47" s="8">
        <v>0.77</v>
      </c>
      <c r="I47" s="12">
        <v>0</v>
      </c>
    </row>
    <row r="48" spans="2:9" ht="15" customHeight="1" x14ac:dyDescent="0.2">
      <c r="B48" t="s">
        <v>132</v>
      </c>
      <c r="C48" s="12">
        <v>158</v>
      </c>
      <c r="D48" s="8">
        <v>5.03</v>
      </c>
      <c r="E48" s="12">
        <v>31</v>
      </c>
      <c r="F48" s="8">
        <v>2.15</v>
      </c>
      <c r="G48" s="12">
        <v>127</v>
      </c>
      <c r="H48" s="8">
        <v>7.51</v>
      </c>
      <c r="I48" s="12">
        <v>0</v>
      </c>
    </row>
    <row r="49" spans="2:9" ht="15" customHeight="1" x14ac:dyDescent="0.2">
      <c r="B49" t="s">
        <v>134</v>
      </c>
      <c r="C49" s="12">
        <v>113</v>
      </c>
      <c r="D49" s="8">
        <v>3.6</v>
      </c>
      <c r="E49" s="12">
        <v>106</v>
      </c>
      <c r="F49" s="8">
        <v>7.36</v>
      </c>
      <c r="G49" s="12">
        <v>7</v>
      </c>
      <c r="H49" s="8">
        <v>0.41</v>
      </c>
      <c r="I49" s="12">
        <v>0</v>
      </c>
    </row>
    <row r="50" spans="2:9" ht="15" customHeight="1" x14ac:dyDescent="0.2">
      <c r="B50" t="s">
        <v>141</v>
      </c>
      <c r="C50" s="12">
        <v>85</v>
      </c>
      <c r="D50" s="8">
        <v>2.71</v>
      </c>
      <c r="E50" s="12">
        <v>76</v>
      </c>
      <c r="F50" s="8">
        <v>5.28</v>
      </c>
      <c r="G50" s="12">
        <v>9</v>
      </c>
      <c r="H50" s="8">
        <v>0.53</v>
      </c>
      <c r="I50" s="12">
        <v>0</v>
      </c>
    </row>
    <row r="51" spans="2:9" ht="15" customHeight="1" x14ac:dyDescent="0.2">
      <c r="B51" t="s">
        <v>140</v>
      </c>
      <c r="C51" s="12">
        <v>79</v>
      </c>
      <c r="D51" s="8">
        <v>2.52</v>
      </c>
      <c r="E51" s="12">
        <v>60</v>
      </c>
      <c r="F51" s="8">
        <v>4.17</v>
      </c>
      <c r="G51" s="12">
        <v>18</v>
      </c>
      <c r="H51" s="8">
        <v>1.06</v>
      </c>
      <c r="I51" s="12">
        <v>1</v>
      </c>
    </row>
    <row r="52" spans="2:9" ht="15" customHeight="1" x14ac:dyDescent="0.2">
      <c r="B52" t="s">
        <v>136</v>
      </c>
      <c r="C52" s="12">
        <v>73</v>
      </c>
      <c r="D52" s="8">
        <v>2.3199999999999998</v>
      </c>
      <c r="E52" s="12">
        <v>71</v>
      </c>
      <c r="F52" s="8">
        <v>4.93</v>
      </c>
      <c r="G52" s="12">
        <v>2</v>
      </c>
      <c r="H52" s="8">
        <v>0.12</v>
      </c>
      <c r="I52" s="12">
        <v>0</v>
      </c>
    </row>
    <row r="53" spans="2:9" ht="15" customHeight="1" x14ac:dyDescent="0.2">
      <c r="B53" t="s">
        <v>137</v>
      </c>
      <c r="C53" s="12">
        <v>73</v>
      </c>
      <c r="D53" s="8">
        <v>2.3199999999999998</v>
      </c>
      <c r="E53" s="12">
        <v>68</v>
      </c>
      <c r="F53" s="8">
        <v>4.72</v>
      </c>
      <c r="G53" s="12">
        <v>5</v>
      </c>
      <c r="H53" s="8">
        <v>0.3</v>
      </c>
      <c r="I53" s="12">
        <v>0</v>
      </c>
    </row>
    <row r="54" spans="2:9" ht="15" customHeight="1" x14ac:dyDescent="0.2">
      <c r="B54" t="s">
        <v>133</v>
      </c>
      <c r="C54" s="12">
        <v>71</v>
      </c>
      <c r="D54" s="8">
        <v>2.2599999999999998</v>
      </c>
      <c r="E54" s="12">
        <v>59</v>
      </c>
      <c r="F54" s="8">
        <v>4.0999999999999996</v>
      </c>
      <c r="G54" s="12">
        <v>12</v>
      </c>
      <c r="H54" s="8">
        <v>0.71</v>
      </c>
      <c r="I54" s="12">
        <v>0</v>
      </c>
    </row>
    <row r="55" spans="2:9" ht="15" customHeight="1" x14ac:dyDescent="0.2">
      <c r="B55" t="s">
        <v>122</v>
      </c>
      <c r="C55" s="12">
        <v>64</v>
      </c>
      <c r="D55" s="8">
        <v>2.04</v>
      </c>
      <c r="E55" s="12">
        <v>11</v>
      </c>
      <c r="F55" s="8">
        <v>0.76</v>
      </c>
      <c r="G55" s="12">
        <v>53</v>
      </c>
      <c r="H55" s="8">
        <v>3.13</v>
      </c>
      <c r="I55" s="12">
        <v>0</v>
      </c>
    </row>
    <row r="56" spans="2:9" ht="15" customHeight="1" x14ac:dyDescent="0.2">
      <c r="B56" t="s">
        <v>124</v>
      </c>
      <c r="C56" s="12">
        <v>64</v>
      </c>
      <c r="D56" s="8">
        <v>2.04</v>
      </c>
      <c r="E56" s="12">
        <v>9</v>
      </c>
      <c r="F56" s="8">
        <v>0.63</v>
      </c>
      <c r="G56" s="12">
        <v>55</v>
      </c>
      <c r="H56" s="8">
        <v>3.25</v>
      </c>
      <c r="I56" s="12">
        <v>0</v>
      </c>
    </row>
    <row r="57" spans="2:9" ht="15" customHeight="1" x14ac:dyDescent="0.2">
      <c r="B57" t="s">
        <v>135</v>
      </c>
      <c r="C57" s="12">
        <v>63</v>
      </c>
      <c r="D57" s="8">
        <v>2.0099999999999998</v>
      </c>
      <c r="E57" s="12">
        <v>63</v>
      </c>
      <c r="F57" s="8">
        <v>4.38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131</v>
      </c>
      <c r="C58" s="12">
        <v>61</v>
      </c>
      <c r="D58" s="8">
        <v>1.94</v>
      </c>
      <c r="E58" s="12">
        <v>2</v>
      </c>
      <c r="F58" s="8">
        <v>0.14000000000000001</v>
      </c>
      <c r="G58" s="12">
        <v>59</v>
      </c>
      <c r="H58" s="8">
        <v>3.49</v>
      </c>
      <c r="I58" s="12">
        <v>0</v>
      </c>
    </row>
    <row r="59" spans="2:9" ht="15" customHeight="1" x14ac:dyDescent="0.2">
      <c r="B59" t="s">
        <v>127</v>
      </c>
      <c r="C59" s="12">
        <v>58</v>
      </c>
      <c r="D59" s="8">
        <v>1.85</v>
      </c>
      <c r="E59" s="12">
        <v>29</v>
      </c>
      <c r="F59" s="8">
        <v>2.0099999999999998</v>
      </c>
      <c r="G59" s="12">
        <v>29</v>
      </c>
      <c r="H59" s="8">
        <v>1.71</v>
      </c>
      <c r="I59" s="12">
        <v>0</v>
      </c>
    </row>
    <row r="60" spans="2:9" ht="15" customHeight="1" x14ac:dyDescent="0.2">
      <c r="B60" t="s">
        <v>143</v>
      </c>
      <c r="C60" s="12">
        <v>55</v>
      </c>
      <c r="D60" s="8">
        <v>1.75</v>
      </c>
      <c r="E60" s="12">
        <v>2</v>
      </c>
      <c r="F60" s="8">
        <v>0.14000000000000001</v>
      </c>
      <c r="G60" s="12">
        <v>52</v>
      </c>
      <c r="H60" s="8">
        <v>3.07</v>
      </c>
      <c r="I60" s="12">
        <v>0</v>
      </c>
    </row>
    <row r="61" spans="2:9" ht="15" customHeight="1" x14ac:dyDescent="0.2">
      <c r="B61" t="s">
        <v>129</v>
      </c>
      <c r="C61" s="12">
        <v>54</v>
      </c>
      <c r="D61" s="8">
        <v>1.72</v>
      </c>
      <c r="E61" s="12">
        <v>40</v>
      </c>
      <c r="F61" s="8">
        <v>2.78</v>
      </c>
      <c r="G61" s="12">
        <v>14</v>
      </c>
      <c r="H61" s="8">
        <v>0.83</v>
      </c>
      <c r="I61" s="12">
        <v>0</v>
      </c>
    </row>
    <row r="62" spans="2:9" ht="15" customHeight="1" x14ac:dyDescent="0.2">
      <c r="B62" t="s">
        <v>130</v>
      </c>
      <c r="C62" s="12">
        <v>53</v>
      </c>
      <c r="D62" s="8">
        <v>1.69</v>
      </c>
      <c r="E62" s="12">
        <v>7</v>
      </c>
      <c r="F62" s="8">
        <v>0.49</v>
      </c>
      <c r="G62" s="12">
        <v>46</v>
      </c>
      <c r="H62" s="8">
        <v>2.72</v>
      </c>
      <c r="I62" s="12">
        <v>0</v>
      </c>
    </row>
    <row r="63" spans="2:9" ht="15" customHeight="1" x14ac:dyDescent="0.2">
      <c r="B63" t="s">
        <v>159</v>
      </c>
      <c r="C63" s="12">
        <v>52</v>
      </c>
      <c r="D63" s="8">
        <v>1.66</v>
      </c>
      <c r="E63" s="12">
        <v>12</v>
      </c>
      <c r="F63" s="8">
        <v>0.83</v>
      </c>
      <c r="G63" s="12">
        <v>40</v>
      </c>
      <c r="H63" s="8">
        <v>2.36</v>
      </c>
      <c r="I63" s="12">
        <v>0</v>
      </c>
    </row>
    <row r="64" spans="2:9" ht="15" customHeight="1" x14ac:dyDescent="0.2">
      <c r="B64" t="s">
        <v>123</v>
      </c>
      <c r="C64" s="12">
        <v>51</v>
      </c>
      <c r="D64" s="8">
        <v>1.62</v>
      </c>
      <c r="E64" s="12">
        <v>4</v>
      </c>
      <c r="F64" s="8">
        <v>0.28000000000000003</v>
      </c>
      <c r="G64" s="12">
        <v>47</v>
      </c>
      <c r="H64" s="8">
        <v>2.78</v>
      </c>
      <c r="I64" s="12">
        <v>0</v>
      </c>
    </row>
    <row r="65" spans="2:9" ht="15" customHeight="1" x14ac:dyDescent="0.2">
      <c r="B65" t="s">
        <v>139</v>
      </c>
      <c r="C65" s="12">
        <v>51</v>
      </c>
      <c r="D65" s="8">
        <v>1.62</v>
      </c>
      <c r="E65" s="12">
        <v>36</v>
      </c>
      <c r="F65" s="8">
        <v>2.5</v>
      </c>
      <c r="G65" s="12">
        <v>15</v>
      </c>
      <c r="H65" s="8">
        <v>0.89</v>
      </c>
      <c r="I65" s="12">
        <v>0</v>
      </c>
    </row>
    <row r="66" spans="2:9" ht="15" customHeight="1" x14ac:dyDescent="0.2">
      <c r="B66" t="s">
        <v>126</v>
      </c>
      <c r="C66" s="12">
        <v>48</v>
      </c>
      <c r="D66" s="8">
        <v>1.53</v>
      </c>
      <c r="E66" s="12">
        <v>28</v>
      </c>
      <c r="F66" s="8">
        <v>1.94</v>
      </c>
      <c r="G66" s="12">
        <v>19</v>
      </c>
      <c r="H66" s="8">
        <v>1.1200000000000001</v>
      </c>
      <c r="I66" s="12">
        <v>1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9B7AE-3733-4305-9547-BFCE0770DE1B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236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108</v>
      </c>
      <c r="D6" s="8">
        <v>14.92</v>
      </c>
      <c r="E6" s="12">
        <v>41</v>
      </c>
      <c r="F6" s="8">
        <v>9.43</v>
      </c>
      <c r="G6" s="12">
        <v>67</v>
      </c>
      <c r="H6" s="8">
        <v>24.81</v>
      </c>
      <c r="I6" s="12">
        <v>0</v>
      </c>
    </row>
    <row r="7" spans="2:9" ht="15" customHeight="1" x14ac:dyDescent="0.2">
      <c r="B7" t="s">
        <v>53</v>
      </c>
      <c r="C7" s="12">
        <v>54</v>
      </c>
      <c r="D7" s="8">
        <v>7.46</v>
      </c>
      <c r="E7" s="12">
        <v>15</v>
      </c>
      <c r="F7" s="8">
        <v>3.45</v>
      </c>
      <c r="G7" s="12">
        <v>39</v>
      </c>
      <c r="H7" s="8">
        <v>14.44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0.14000000000000001</v>
      </c>
      <c r="E8" s="12">
        <v>0</v>
      </c>
      <c r="F8" s="8">
        <v>0</v>
      </c>
      <c r="G8" s="12">
        <v>1</v>
      </c>
      <c r="H8" s="8">
        <v>0.37</v>
      </c>
      <c r="I8" s="12">
        <v>0</v>
      </c>
    </row>
    <row r="9" spans="2:9" ht="15" customHeight="1" x14ac:dyDescent="0.2">
      <c r="B9" t="s">
        <v>55</v>
      </c>
      <c r="C9" s="12">
        <v>4</v>
      </c>
      <c r="D9" s="8">
        <v>0.55000000000000004</v>
      </c>
      <c r="E9" s="12">
        <v>0</v>
      </c>
      <c r="F9" s="8">
        <v>0</v>
      </c>
      <c r="G9" s="12">
        <v>4</v>
      </c>
      <c r="H9" s="8">
        <v>1.48</v>
      </c>
      <c r="I9" s="12">
        <v>0</v>
      </c>
    </row>
    <row r="10" spans="2:9" ht="15" customHeight="1" x14ac:dyDescent="0.2">
      <c r="B10" t="s">
        <v>56</v>
      </c>
      <c r="C10" s="12">
        <v>12</v>
      </c>
      <c r="D10" s="8">
        <v>1.66</v>
      </c>
      <c r="E10" s="12">
        <v>2</v>
      </c>
      <c r="F10" s="8">
        <v>0.46</v>
      </c>
      <c r="G10" s="12">
        <v>10</v>
      </c>
      <c r="H10" s="8">
        <v>3.7</v>
      </c>
      <c r="I10" s="12">
        <v>0</v>
      </c>
    </row>
    <row r="11" spans="2:9" ht="15" customHeight="1" x14ac:dyDescent="0.2">
      <c r="B11" t="s">
        <v>57</v>
      </c>
      <c r="C11" s="12">
        <v>148</v>
      </c>
      <c r="D11" s="8">
        <v>20.440000000000001</v>
      </c>
      <c r="E11" s="12">
        <v>85</v>
      </c>
      <c r="F11" s="8">
        <v>19.54</v>
      </c>
      <c r="G11" s="12">
        <v>63</v>
      </c>
      <c r="H11" s="8">
        <v>23.33</v>
      </c>
      <c r="I11" s="12">
        <v>0</v>
      </c>
    </row>
    <row r="12" spans="2:9" ht="15" customHeight="1" x14ac:dyDescent="0.2">
      <c r="B12" t="s">
        <v>58</v>
      </c>
      <c r="C12" s="12">
        <v>6</v>
      </c>
      <c r="D12" s="8">
        <v>0.83</v>
      </c>
      <c r="E12" s="12">
        <v>1</v>
      </c>
      <c r="F12" s="8">
        <v>0.23</v>
      </c>
      <c r="G12" s="12">
        <v>5</v>
      </c>
      <c r="H12" s="8">
        <v>1.85</v>
      </c>
      <c r="I12" s="12">
        <v>0</v>
      </c>
    </row>
    <row r="13" spans="2:9" ht="15" customHeight="1" x14ac:dyDescent="0.2">
      <c r="B13" t="s">
        <v>59</v>
      </c>
      <c r="C13" s="12">
        <v>83</v>
      </c>
      <c r="D13" s="8">
        <v>11.46</v>
      </c>
      <c r="E13" s="12">
        <v>57</v>
      </c>
      <c r="F13" s="8">
        <v>13.1</v>
      </c>
      <c r="G13" s="12">
        <v>25</v>
      </c>
      <c r="H13" s="8">
        <v>9.26</v>
      </c>
      <c r="I13" s="12">
        <v>0</v>
      </c>
    </row>
    <row r="14" spans="2:9" ht="15" customHeight="1" x14ac:dyDescent="0.2">
      <c r="B14" t="s">
        <v>60</v>
      </c>
      <c r="C14" s="12">
        <v>30</v>
      </c>
      <c r="D14" s="8">
        <v>4.1399999999999997</v>
      </c>
      <c r="E14" s="12">
        <v>15</v>
      </c>
      <c r="F14" s="8">
        <v>3.45</v>
      </c>
      <c r="G14" s="12">
        <v>14</v>
      </c>
      <c r="H14" s="8">
        <v>5.19</v>
      </c>
      <c r="I14" s="12">
        <v>0</v>
      </c>
    </row>
    <row r="15" spans="2:9" ht="15" customHeight="1" x14ac:dyDescent="0.2">
      <c r="B15" t="s">
        <v>61</v>
      </c>
      <c r="C15" s="12">
        <v>84</v>
      </c>
      <c r="D15" s="8">
        <v>11.6</v>
      </c>
      <c r="E15" s="12">
        <v>71</v>
      </c>
      <c r="F15" s="8">
        <v>16.32</v>
      </c>
      <c r="G15" s="12">
        <v>13</v>
      </c>
      <c r="H15" s="8">
        <v>4.8099999999999996</v>
      </c>
      <c r="I15" s="12">
        <v>0</v>
      </c>
    </row>
    <row r="16" spans="2:9" ht="15" customHeight="1" x14ac:dyDescent="0.2">
      <c r="B16" t="s">
        <v>62</v>
      </c>
      <c r="C16" s="12">
        <v>93</v>
      </c>
      <c r="D16" s="8">
        <v>12.85</v>
      </c>
      <c r="E16" s="12">
        <v>80</v>
      </c>
      <c r="F16" s="8">
        <v>18.39</v>
      </c>
      <c r="G16" s="12">
        <v>12</v>
      </c>
      <c r="H16" s="8">
        <v>4.4400000000000004</v>
      </c>
      <c r="I16" s="12">
        <v>1</v>
      </c>
    </row>
    <row r="17" spans="2:9" ht="15" customHeight="1" x14ac:dyDescent="0.2">
      <c r="B17" t="s">
        <v>63</v>
      </c>
      <c r="C17" s="12">
        <v>46</v>
      </c>
      <c r="D17" s="8">
        <v>6.35</v>
      </c>
      <c r="E17" s="12">
        <v>32</v>
      </c>
      <c r="F17" s="8">
        <v>7.36</v>
      </c>
      <c r="G17" s="12">
        <v>6</v>
      </c>
      <c r="H17" s="8">
        <v>2.2200000000000002</v>
      </c>
      <c r="I17" s="12">
        <v>0</v>
      </c>
    </row>
    <row r="18" spans="2:9" ht="15" customHeight="1" x14ac:dyDescent="0.2">
      <c r="B18" t="s">
        <v>64</v>
      </c>
      <c r="C18" s="12">
        <v>35</v>
      </c>
      <c r="D18" s="8">
        <v>4.83</v>
      </c>
      <c r="E18" s="12">
        <v>23</v>
      </c>
      <c r="F18" s="8">
        <v>5.29</v>
      </c>
      <c r="G18" s="12">
        <v>6</v>
      </c>
      <c r="H18" s="8">
        <v>2.2200000000000002</v>
      </c>
      <c r="I18" s="12">
        <v>0</v>
      </c>
    </row>
    <row r="19" spans="2:9" ht="15" customHeight="1" x14ac:dyDescent="0.2">
      <c r="B19" t="s">
        <v>65</v>
      </c>
      <c r="C19" s="12">
        <v>20</v>
      </c>
      <c r="D19" s="8">
        <v>2.76</v>
      </c>
      <c r="E19" s="12">
        <v>13</v>
      </c>
      <c r="F19" s="8">
        <v>2.99</v>
      </c>
      <c r="G19" s="12">
        <v>5</v>
      </c>
      <c r="H19" s="8">
        <v>1.85</v>
      </c>
      <c r="I19" s="12">
        <v>0</v>
      </c>
    </row>
    <row r="20" spans="2:9" ht="15" customHeight="1" x14ac:dyDescent="0.2">
      <c r="B20" s="9" t="s">
        <v>215</v>
      </c>
      <c r="C20" s="12">
        <f>SUM(LTBL_28208[総数／事業所数])</f>
        <v>724</v>
      </c>
      <c r="E20" s="12">
        <f>SUBTOTAL(109,LTBL_28208[個人／事業所数])</f>
        <v>435</v>
      </c>
      <c r="G20" s="12">
        <f>SUBTOTAL(109,LTBL_28208[法人／事業所数])</f>
        <v>270</v>
      </c>
      <c r="I20" s="12">
        <f>SUBTOTAL(109,LTBL_28208[法人以外の団体／事業所数])</f>
        <v>1</v>
      </c>
    </row>
    <row r="21" spans="2:9" ht="15" customHeight="1" x14ac:dyDescent="0.2">
      <c r="E21" s="11">
        <f>LTBL_28208[[#Totals],[個人／事業所数]]/LTBL_28208[[#Totals],[総数／事業所数]]</f>
        <v>0.600828729281768</v>
      </c>
      <c r="G21" s="11">
        <f>LTBL_28208[[#Totals],[法人／事業所数]]/LTBL_28208[[#Totals],[総数／事業所数]]</f>
        <v>0.3729281767955801</v>
      </c>
      <c r="I21" s="11">
        <f>LTBL_28208[[#Totals],[法人以外の団体／事業所数]]/LTBL_28208[[#Totals],[総数／事業所数]]</f>
        <v>1.3812154696132596E-3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78</v>
      </c>
      <c r="D24" s="8">
        <v>10.77</v>
      </c>
      <c r="E24" s="12">
        <v>70</v>
      </c>
      <c r="F24" s="8">
        <v>16.09</v>
      </c>
      <c r="G24" s="12">
        <v>8</v>
      </c>
      <c r="H24" s="8">
        <v>2.96</v>
      </c>
      <c r="I24" s="12">
        <v>0</v>
      </c>
    </row>
    <row r="25" spans="2:9" ht="15" customHeight="1" x14ac:dyDescent="0.2">
      <c r="B25" t="s">
        <v>89</v>
      </c>
      <c r="C25" s="12">
        <v>76</v>
      </c>
      <c r="D25" s="8">
        <v>10.5</v>
      </c>
      <c r="E25" s="12">
        <v>70</v>
      </c>
      <c r="F25" s="8">
        <v>16.09</v>
      </c>
      <c r="G25" s="12">
        <v>6</v>
      </c>
      <c r="H25" s="8">
        <v>2.2200000000000002</v>
      </c>
      <c r="I25" s="12">
        <v>0</v>
      </c>
    </row>
    <row r="26" spans="2:9" ht="15" customHeight="1" x14ac:dyDescent="0.2">
      <c r="B26" t="s">
        <v>85</v>
      </c>
      <c r="C26" s="12">
        <v>74</v>
      </c>
      <c r="D26" s="8">
        <v>10.220000000000001</v>
      </c>
      <c r="E26" s="12">
        <v>53</v>
      </c>
      <c r="F26" s="8">
        <v>12.18</v>
      </c>
      <c r="G26" s="12">
        <v>20</v>
      </c>
      <c r="H26" s="8">
        <v>7.41</v>
      </c>
      <c r="I26" s="12">
        <v>0</v>
      </c>
    </row>
    <row r="27" spans="2:9" ht="15" customHeight="1" x14ac:dyDescent="0.2">
      <c r="B27" t="s">
        <v>83</v>
      </c>
      <c r="C27" s="12">
        <v>53</v>
      </c>
      <c r="D27" s="8">
        <v>7.32</v>
      </c>
      <c r="E27" s="12">
        <v>28</v>
      </c>
      <c r="F27" s="8">
        <v>6.44</v>
      </c>
      <c r="G27" s="12">
        <v>25</v>
      </c>
      <c r="H27" s="8">
        <v>9.26</v>
      </c>
      <c r="I27" s="12">
        <v>0</v>
      </c>
    </row>
    <row r="28" spans="2:9" ht="15" customHeight="1" x14ac:dyDescent="0.2">
      <c r="B28" t="s">
        <v>91</v>
      </c>
      <c r="C28" s="12">
        <v>46</v>
      </c>
      <c r="D28" s="8">
        <v>6.35</v>
      </c>
      <c r="E28" s="12">
        <v>32</v>
      </c>
      <c r="F28" s="8">
        <v>7.36</v>
      </c>
      <c r="G28" s="12">
        <v>6</v>
      </c>
      <c r="H28" s="8">
        <v>2.2200000000000002</v>
      </c>
      <c r="I28" s="12">
        <v>0</v>
      </c>
    </row>
    <row r="29" spans="2:9" ht="15" customHeight="1" x14ac:dyDescent="0.2">
      <c r="B29" t="s">
        <v>74</v>
      </c>
      <c r="C29" s="12">
        <v>41</v>
      </c>
      <c r="D29" s="8">
        <v>5.66</v>
      </c>
      <c r="E29" s="12">
        <v>15</v>
      </c>
      <c r="F29" s="8">
        <v>3.45</v>
      </c>
      <c r="G29" s="12">
        <v>26</v>
      </c>
      <c r="H29" s="8">
        <v>9.6300000000000008</v>
      </c>
      <c r="I29" s="12">
        <v>0</v>
      </c>
    </row>
    <row r="30" spans="2:9" ht="15" customHeight="1" x14ac:dyDescent="0.2">
      <c r="B30" t="s">
        <v>76</v>
      </c>
      <c r="C30" s="12">
        <v>41</v>
      </c>
      <c r="D30" s="8">
        <v>5.66</v>
      </c>
      <c r="E30" s="12">
        <v>14</v>
      </c>
      <c r="F30" s="8">
        <v>3.22</v>
      </c>
      <c r="G30" s="12">
        <v>27</v>
      </c>
      <c r="H30" s="8">
        <v>10</v>
      </c>
      <c r="I30" s="12">
        <v>0</v>
      </c>
    </row>
    <row r="31" spans="2:9" ht="15" customHeight="1" x14ac:dyDescent="0.2">
      <c r="B31" t="s">
        <v>81</v>
      </c>
      <c r="C31" s="12">
        <v>37</v>
      </c>
      <c r="D31" s="8">
        <v>5.1100000000000003</v>
      </c>
      <c r="E31" s="12">
        <v>30</v>
      </c>
      <c r="F31" s="8">
        <v>6.9</v>
      </c>
      <c r="G31" s="12">
        <v>7</v>
      </c>
      <c r="H31" s="8">
        <v>2.59</v>
      </c>
      <c r="I31" s="12">
        <v>0</v>
      </c>
    </row>
    <row r="32" spans="2:9" ht="15" customHeight="1" x14ac:dyDescent="0.2">
      <c r="B32" t="s">
        <v>75</v>
      </c>
      <c r="C32" s="12">
        <v>26</v>
      </c>
      <c r="D32" s="8">
        <v>3.59</v>
      </c>
      <c r="E32" s="12">
        <v>12</v>
      </c>
      <c r="F32" s="8">
        <v>2.76</v>
      </c>
      <c r="G32" s="12">
        <v>14</v>
      </c>
      <c r="H32" s="8">
        <v>5.19</v>
      </c>
      <c r="I32" s="12">
        <v>0</v>
      </c>
    </row>
    <row r="33" spans="2:9" ht="15" customHeight="1" x14ac:dyDescent="0.2">
      <c r="B33" t="s">
        <v>92</v>
      </c>
      <c r="C33" s="12">
        <v>22</v>
      </c>
      <c r="D33" s="8">
        <v>3.04</v>
      </c>
      <c r="E33" s="12">
        <v>22</v>
      </c>
      <c r="F33" s="8">
        <v>5.0599999999999996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87</v>
      </c>
      <c r="C34" s="12">
        <v>18</v>
      </c>
      <c r="D34" s="8">
        <v>2.4900000000000002</v>
      </c>
      <c r="E34" s="12">
        <v>6</v>
      </c>
      <c r="F34" s="8">
        <v>1.38</v>
      </c>
      <c r="G34" s="12">
        <v>12</v>
      </c>
      <c r="H34" s="8">
        <v>4.4400000000000004</v>
      </c>
      <c r="I34" s="12">
        <v>0</v>
      </c>
    </row>
    <row r="35" spans="2:9" ht="15" customHeight="1" x14ac:dyDescent="0.2">
      <c r="B35" t="s">
        <v>80</v>
      </c>
      <c r="C35" s="12">
        <v>15</v>
      </c>
      <c r="D35" s="8">
        <v>2.0699999999999998</v>
      </c>
      <c r="E35" s="12">
        <v>12</v>
      </c>
      <c r="F35" s="8">
        <v>2.76</v>
      </c>
      <c r="G35" s="12">
        <v>3</v>
      </c>
      <c r="H35" s="8">
        <v>1.1100000000000001</v>
      </c>
      <c r="I35" s="12">
        <v>0</v>
      </c>
    </row>
    <row r="36" spans="2:9" ht="15" customHeight="1" x14ac:dyDescent="0.2">
      <c r="B36" t="s">
        <v>82</v>
      </c>
      <c r="C36" s="12">
        <v>15</v>
      </c>
      <c r="D36" s="8">
        <v>2.0699999999999998</v>
      </c>
      <c r="E36" s="12">
        <v>8</v>
      </c>
      <c r="F36" s="8">
        <v>1.84</v>
      </c>
      <c r="G36" s="12">
        <v>7</v>
      </c>
      <c r="H36" s="8">
        <v>2.59</v>
      </c>
      <c r="I36" s="12">
        <v>0</v>
      </c>
    </row>
    <row r="37" spans="2:9" ht="15" customHeight="1" x14ac:dyDescent="0.2">
      <c r="B37" t="s">
        <v>93</v>
      </c>
      <c r="C37" s="12">
        <v>13</v>
      </c>
      <c r="D37" s="8">
        <v>1.8</v>
      </c>
      <c r="E37" s="12">
        <v>1</v>
      </c>
      <c r="F37" s="8">
        <v>0.23</v>
      </c>
      <c r="G37" s="12">
        <v>6</v>
      </c>
      <c r="H37" s="8">
        <v>2.2200000000000002</v>
      </c>
      <c r="I37" s="12">
        <v>0</v>
      </c>
    </row>
    <row r="38" spans="2:9" ht="15" customHeight="1" x14ac:dyDescent="0.2">
      <c r="B38" t="s">
        <v>77</v>
      </c>
      <c r="C38" s="12">
        <v>12</v>
      </c>
      <c r="D38" s="8">
        <v>1.66</v>
      </c>
      <c r="E38" s="12">
        <v>1</v>
      </c>
      <c r="F38" s="8">
        <v>0.23</v>
      </c>
      <c r="G38" s="12">
        <v>11</v>
      </c>
      <c r="H38" s="8">
        <v>4.07</v>
      </c>
      <c r="I38" s="12">
        <v>0</v>
      </c>
    </row>
    <row r="39" spans="2:9" ht="15" customHeight="1" x14ac:dyDescent="0.2">
      <c r="B39" t="s">
        <v>86</v>
      </c>
      <c r="C39" s="12">
        <v>11</v>
      </c>
      <c r="D39" s="8">
        <v>1.52</v>
      </c>
      <c r="E39" s="12">
        <v>9</v>
      </c>
      <c r="F39" s="8">
        <v>2.0699999999999998</v>
      </c>
      <c r="G39" s="12">
        <v>2</v>
      </c>
      <c r="H39" s="8">
        <v>0.74</v>
      </c>
      <c r="I39" s="12">
        <v>0</v>
      </c>
    </row>
    <row r="40" spans="2:9" ht="15" customHeight="1" x14ac:dyDescent="0.2">
      <c r="B40" t="s">
        <v>109</v>
      </c>
      <c r="C40" s="12">
        <v>10</v>
      </c>
      <c r="D40" s="8">
        <v>1.38</v>
      </c>
      <c r="E40" s="12">
        <v>0</v>
      </c>
      <c r="F40" s="8">
        <v>0</v>
      </c>
      <c r="G40" s="12">
        <v>10</v>
      </c>
      <c r="H40" s="8">
        <v>3.7</v>
      </c>
      <c r="I40" s="12">
        <v>0</v>
      </c>
    </row>
    <row r="41" spans="2:9" ht="15" customHeight="1" x14ac:dyDescent="0.2">
      <c r="B41" t="s">
        <v>104</v>
      </c>
      <c r="C41" s="12">
        <v>10</v>
      </c>
      <c r="D41" s="8">
        <v>1.38</v>
      </c>
      <c r="E41" s="12">
        <v>10</v>
      </c>
      <c r="F41" s="8">
        <v>2.2999999999999998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90</v>
      </c>
      <c r="C42" s="12">
        <v>9</v>
      </c>
      <c r="D42" s="8">
        <v>1.24</v>
      </c>
      <c r="E42" s="12">
        <v>5</v>
      </c>
      <c r="F42" s="8">
        <v>1.1499999999999999</v>
      </c>
      <c r="G42" s="12">
        <v>4</v>
      </c>
      <c r="H42" s="8">
        <v>1.48</v>
      </c>
      <c r="I42" s="12">
        <v>0</v>
      </c>
    </row>
    <row r="43" spans="2:9" ht="15" customHeight="1" x14ac:dyDescent="0.2">
      <c r="B43" t="s">
        <v>108</v>
      </c>
      <c r="C43" s="12">
        <v>8</v>
      </c>
      <c r="D43" s="8">
        <v>1.1000000000000001</v>
      </c>
      <c r="E43" s="12">
        <v>3</v>
      </c>
      <c r="F43" s="8">
        <v>0.69</v>
      </c>
      <c r="G43" s="12">
        <v>5</v>
      </c>
      <c r="H43" s="8">
        <v>1.85</v>
      </c>
      <c r="I43" s="12">
        <v>0</v>
      </c>
    </row>
    <row r="44" spans="2:9" ht="15" customHeight="1" x14ac:dyDescent="0.2">
      <c r="B44" t="s">
        <v>97</v>
      </c>
      <c r="C44" s="12">
        <v>8</v>
      </c>
      <c r="D44" s="8">
        <v>1.1000000000000001</v>
      </c>
      <c r="E44" s="12">
        <v>3</v>
      </c>
      <c r="F44" s="8">
        <v>0.69</v>
      </c>
      <c r="G44" s="12">
        <v>5</v>
      </c>
      <c r="H44" s="8">
        <v>1.85</v>
      </c>
      <c r="I44" s="12">
        <v>0</v>
      </c>
    </row>
    <row r="45" spans="2:9" ht="15" customHeight="1" x14ac:dyDescent="0.2">
      <c r="B45" t="s">
        <v>107</v>
      </c>
      <c r="C45" s="12">
        <v>8</v>
      </c>
      <c r="D45" s="8">
        <v>1.1000000000000001</v>
      </c>
      <c r="E45" s="12">
        <v>5</v>
      </c>
      <c r="F45" s="8">
        <v>1.1499999999999999</v>
      </c>
      <c r="G45" s="12">
        <v>2</v>
      </c>
      <c r="H45" s="8">
        <v>0.74</v>
      </c>
      <c r="I45" s="12">
        <v>1</v>
      </c>
    </row>
    <row r="48" spans="2:9" ht="33" customHeight="1" x14ac:dyDescent="0.2">
      <c r="B48" t="s">
        <v>217</v>
      </c>
      <c r="C48" s="10" t="s">
        <v>67</v>
      </c>
      <c r="D48" s="10" t="s">
        <v>68</v>
      </c>
      <c r="E48" s="10" t="s">
        <v>69</v>
      </c>
      <c r="F48" s="10" t="s">
        <v>70</v>
      </c>
      <c r="G48" s="10" t="s">
        <v>71</v>
      </c>
      <c r="H48" s="10" t="s">
        <v>72</v>
      </c>
      <c r="I48" s="10" t="s">
        <v>73</v>
      </c>
    </row>
    <row r="49" spans="2:9" ht="15" customHeight="1" x14ac:dyDescent="0.2">
      <c r="B49" t="s">
        <v>132</v>
      </c>
      <c r="C49" s="12">
        <v>51</v>
      </c>
      <c r="D49" s="8">
        <v>7.04</v>
      </c>
      <c r="E49" s="12">
        <v>38</v>
      </c>
      <c r="F49" s="8">
        <v>8.74</v>
      </c>
      <c r="G49" s="12">
        <v>12</v>
      </c>
      <c r="H49" s="8">
        <v>4.4400000000000004</v>
      </c>
      <c r="I49" s="12">
        <v>0</v>
      </c>
    </row>
    <row r="50" spans="2:9" ht="15" customHeight="1" x14ac:dyDescent="0.2">
      <c r="B50" t="s">
        <v>138</v>
      </c>
      <c r="C50" s="12">
        <v>49</v>
      </c>
      <c r="D50" s="8">
        <v>6.77</v>
      </c>
      <c r="E50" s="12">
        <v>46</v>
      </c>
      <c r="F50" s="8">
        <v>10.57</v>
      </c>
      <c r="G50" s="12">
        <v>3</v>
      </c>
      <c r="H50" s="8">
        <v>1.1100000000000001</v>
      </c>
      <c r="I50" s="12">
        <v>0</v>
      </c>
    </row>
    <row r="51" spans="2:9" ht="15" customHeight="1" x14ac:dyDescent="0.2">
      <c r="B51" t="s">
        <v>136</v>
      </c>
      <c r="C51" s="12">
        <v>23</v>
      </c>
      <c r="D51" s="8">
        <v>3.18</v>
      </c>
      <c r="E51" s="12">
        <v>23</v>
      </c>
      <c r="F51" s="8">
        <v>5.29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140</v>
      </c>
      <c r="C52" s="12">
        <v>22</v>
      </c>
      <c r="D52" s="8">
        <v>3.04</v>
      </c>
      <c r="E52" s="12">
        <v>19</v>
      </c>
      <c r="F52" s="8">
        <v>4.37</v>
      </c>
      <c r="G52" s="12">
        <v>3</v>
      </c>
      <c r="H52" s="8">
        <v>1.1100000000000001</v>
      </c>
      <c r="I52" s="12">
        <v>0</v>
      </c>
    </row>
    <row r="53" spans="2:9" ht="15" customHeight="1" x14ac:dyDescent="0.2">
      <c r="B53" t="s">
        <v>129</v>
      </c>
      <c r="C53" s="12">
        <v>21</v>
      </c>
      <c r="D53" s="8">
        <v>2.9</v>
      </c>
      <c r="E53" s="12">
        <v>14</v>
      </c>
      <c r="F53" s="8">
        <v>3.22</v>
      </c>
      <c r="G53" s="12">
        <v>7</v>
      </c>
      <c r="H53" s="8">
        <v>2.59</v>
      </c>
      <c r="I53" s="12">
        <v>0</v>
      </c>
    </row>
    <row r="54" spans="2:9" ht="15" customHeight="1" x14ac:dyDescent="0.2">
      <c r="B54" t="s">
        <v>137</v>
      </c>
      <c r="C54" s="12">
        <v>19</v>
      </c>
      <c r="D54" s="8">
        <v>2.62</v>
      </c>
      <c r="E54" s="12">
        <v>18</v>
      </c>
      <c r="F54" s="8">
        <v>4.1399999999999997</v>
      </c>
      <c r="G54" s="12">
        <v>1</v>
      </c>
      <c r="H54" s="8">
        <v>0.37</v>
      </c>
      <c r="I54" s="12">
        <v>0</v>
      </c>
    </row>
    <row r="55" spans="2:9" ht="15" customHeight="1" x14ac:dyDescent="0.2">
      <c r="B55" t="s">
        <v>141</v>
      </c>
      <c r="C55" s="12">
        <v>18</v>
      </c>
      <c r="D55" s="8">
        <v>2.4900000000000002</v>
      </c>
      <c r="E55" s="12">
        <v>18</v>
      </c>
      <c r="F55" s="8">
        <v>4.1399999999999997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124</v>
      </c>
      <c r="C56" s="12">
        <v>17</v>
      </c>
      <c r="D56" s="8">
        <v>2.35</v>
      </c>
      <c r="E56" s="12">
        <v>8</v>
      </c>
      <c r="F56" s="8">
        <v>1.84</v>
      </c>
      <c r="G56" s="12">
        <v>9</v>
      </c>
      <c r="H56" s="8">
        <v>3.33</v>
      </c>
      <c r="I56" s="12">
        <v>0</v>
      </c>
    </row>
    <row r="57" spans="2:9" ht="15" customHeight="1" x14ac:dyDescent="0.2">
      <c r="B57" t="s">
        <v>142</v>
      </c>
      <c r="C57" s="12">
        <v>16</v>
      </c>
      <c r="D57" s="8">
        <v>2.21</v>
      </c>
      <c r="E57" s="12">
        <v>13</v>
      </c>
      <c r="F57" s="8">
        <v>2.99</v>
      </c>
      <c r="G57" s="12">
        <v>3</v>
      </c>
      <c r="H57" s="8">
        <v>1.1100000000000001</v>
      </c>
      <c r="I57" s="12">
        <v>0</v>
      </c>
    </row>
    <row r="58" spans="2:9" ht="15" customHeight="1" x14ac:dyDescent="0.2">
      <c r="B58" t="s">
        <v>135</v>
      </c>
      <c r="C58" s="12">
        <v>16</v>
      </c>
      <c r="D58" s="8">
        <v>2.21</v>
      </c>
      <c r="E58" s="12">
        <v>14</v>
      </c>
      <c r="F58" s="8">
        <v>3.22</v>
      </c>
      <c r="G58" s="12">
        <v>2</v>
      </c>
      <c r="H58" s="8">
        <v>0.74</v>
      </c>
      <c r="I58" s="12">
        <v>0</v>
      </c>
    </row>
    <row r="59" spans="2:9" ht="15" customHeight="1" x14ac:dyDescent="0.2">
      <c r="B59" t="s">
        <v>139</v>
      </c>
      <c r="C59" s="12">
        <v>16</v>
      </c>
      <c r="D59" s="8">
        <v>2.21</v>
      </c>
      <c r="E59" s="12">
        <v>13</v>
      </c>
      <c r="F59" s="8">
        <v>2.99</v>
      </c>
      <c r="G59" s="12">
        <v>3</v>
      </c>
      <c r="H59" s="8">
        <v>1.1100000000000001</v>
      </c>
      <c r="I59" s="12">
        <v>0</v>
      </c>
    </row>
    <row r="60" spans="2:9" ht="15" customHeight="1" x14ac:dyDescent="0.2">
      <c r="B60" t="s">
        <v>122</v>
      </c>
      <c r="C60" s="12">
        <v>15</v>
      </c>
      <c r="D60" s="8">
        <v>2.0699999999999998</v>
      </c>
      <c r="E60" s="12">
        <v>5</v>
      </c>
      <c r="F60" s="8">
        <v>1.1499999999999999</v>
      </c>
      <c r="G60" s="12">
        <v>10</v>
      </c>
      <c r="H60" s="8">
        <v>3.7</v>
      </c>
      <c r="I60" s="12">
        <v>0</v>
      </c>
    </row>
    <row r="61" spans="2:9" ht="15" customHeight="1" x14ac:dyDescent="0.2">
      <c r="B61" t="s">
        <v>127</v>
      </c>
      <c r="C61" s="12">
        <v>12</v>
      </c>
      <c r="D61" s="8">
        <v>1.66</v>
      </c>
      <c r="E61" s="12">
        <v>7</v>
      </c>
      <c r="F61" s="8">
        <v>1.61</v>
      </c>
      <c r="G61" s="12">
        <v>5</v>
      </c>
      <c r="H61" s="8">
        <v>1.85</v>
      </c>
      <c r="I61" s="12">
        <v>0</v>
      </c>
    </row>
    <row r="62" spans="2:9" ht="15" customHeight="1" x14ac:dyDescent="0.2">
      <c r="B62" t="s">
        <v>133</v>
      </c>
      <c r="C62" s="12">
        <v>12</v>
      </c>
      <c r="D62" s="8">
        <v>1.66</v>
      </c>
      <c r="E62" s="12">
        <v>9</v>
      </c>
      <c r="F62" s="8">
        <v>2.0699999999999998</v>
      </c>
      <c r="G62" s="12">
        <v>3</v>
      </c>
      <c r="H62" s="8">
        <v>1.1100000000000001</v>
      </c>
      <c r="I62" s="12">
        <v>0</v>
      </c>
    </row>
    <row r="63" spans="2:9" ht="15" customHeight="1" x14ac:dyDescent="0.2">
      <c r="B63" t="s">
        <v>151</v>
      </c>
      <c r="C63" s="12">
        <v>11</v>
      </c>
      <c r="D63" s="8">
        <v>1.52</v>
      </c>
      <c r="E63" s="12">
        <v>10</v>
      </c>
      <c r="F63" s="8">
        <v>2.2999999999999998</v>
      </c>
      <c r="G63" s="12">
        <v>1</v>
      </c>
      <c r="H63" s="8">
        <v>0.37</v>
      </c>
      <c r="I63" s="12">
        <v>0</v>
      </c>
    </row>
    <row r="64" spans="2:9" ht="15" customHeight="1" x14ac:dyDescent="0.2">
      <c r="B64" t="s">
        <v>134</v>
      </c>
      <c r="C64" s="12">
        <v>11</v>
      </c>
      <c r="D64" s="8">
        <v>1.52</v>
      </c>
      <c r="E64" s="12">
        <v>10</v>
      </c>
      <c r="F64" s="8">
        <v>2.2999999999999998</v>
      </c>
      <c r="G64" s="12">
        <v>1</v>
      </c>
      <c r="H64" s="8">
        <v>0.37</v>
      </c>
      <c r="I64" s="12">
        <v>0</v>
      </c>
    </row>
    <row r="65" spans="2:9" ht="15" customHeight="1" x14ac:dyDescent="0.2">
      <c r="B65" t="s">
        <v>123</v>
      </c>
      <c r="C65" s="12">
        <v>10</v>
      </c>
      <c r="D65" s="8">
        <v>1.38</v>
      </c>
      <c r="E65" s="12">
        <v>3</v>
      </c>
      <c r="F65" s="8">
        <v>0.69</v>
      </c>
      <c r="G65" s="12">
        <v>7</v>
      </c>
      <c r="H65" s="8">
        <v>2.59</v>
      </c>
      <c r="I65" s="12">
        <v>0</v>
      </c>
    </row>
    <row r="66" spans="2:9" ht="15" customHeight="1" x14ac:dyDescent="0.2">
      <c r="B66" t="s">
        <v>168</v>
      </c>
      <c r="C66" s="12">
        <v>10</v>
      </c>
      <c r="D66" s="8">
        <v>1.38</v>
      </c>
      <c r="E66" s="12">
        <v>2</v>
      </c>
      <c r="F66" s="8">
        <v>0.46</v>
      </c>
      <c r="G66" s="12">
        <v>8</v>
      </c>
      <c r="H66" s="8">
        <v>2.96</v>
      </c>
      <c r="I66" s="12">
        <v>0</v>
      </c>
    </row>
    <row r="67" spans="2:9" ht="15" customHeight="1" x14ac:dyDescent="0.2">
      <c r="B67" t="s">
        <v>154</v>
      </c>
      <c r="C67" s="12">
        <v>10</v>
      </c>
      <c r="D67" s="8">
        <v>1.38</v>
      </c>
      <c r="E67" s="12">
        <v>8</v>
      </c>
      <c r="F67" s="8">
        <v>1.84</v>
      </c>
      <c r="G67" s="12">
        <v>2</v>
      </c>
      <c r="H67" s="8">
        <v>0.74</v>
      </c>
      <c r="I67" s="12">
        <v>0</v>
      </c>
    </row>
    <row r="68" spans="2:9" ht="15" customHeight="1" x14ac:dyDescent="0.2">
      <c r="B68" t="s">
        <v>165</v>
      </c>
      <c r="C68" s="12">
        <v>10</v>
      </c>
      <c r="D68" s="8">
        <v>1.38</v>
      </c>
      <c r="E68" s="12">
        <v>10</v>
      </c>
      <c r="F68" s="8">
        <v>2.2999999999999998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299F-2C6B-4AE6-9A3A-0A4CDB5A50A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237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393</v>
      </c>
      <c r="D6" s="8">
        <v>13.54</v>
      </c>
      <c r="E6" s="12">
        <v>232</v>
      </c>
      <c r="F6" s="8">
        <v>12.01</v>
      </c>
      <c r="G6" s="12">
        <v>161</v>
      </c>
      <c r="H6" s="8">
        <v>17.690000000000001</v>
      </c>
      <c r="I6" s="12">
        <v>0</v>
      </c>
    </row>
    <row r="7" spans="2:9" ht="15" customHeight="1" x14ac:dyDescent="0.2">
      <c r="B7" t="s">
        <v>53</v>
      </c>
      <c r="C7" s="12">
        <v>316</v>
      </c>
      <c r="D7" s="8">
        <v>10.89</v>
      </c>
      <c r="E7" s="12">
        <v>205</v>
      </c>
      <c r="F7" s="8">
        <v>10.61</v>
      </c>
      <c r="G7" s="12">
        <v>111</v>
      </c>
      <c r="H7" s="8">
        <v>12.2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7.0000000000000007E-2</v>
      </c>
      <c r="E8" s="12">
        <v>0</v>
      </c>
      <c r="F8" s="8">
        <v>0</v>
      </c>
      <c r="G8" s="12">
        <v>2</v>
      </c>
      <c r="H8" s="8">
        <v>0.22</v>
      </c>
      <c r="I8" s="12">
        <v>0</v>
      </c>
    </row>
    <row r="9" spans="2:9" ht="15" customHeight="1" x14ac:dyDescent="0.2">
      <c r="B9" t="s">
        <v>55</v>
      </c>
      <c r="C9" s="12">
        <v>23</v>
      </c>
      <c r="D9" s="8">
        <v>0.79</v>
      </c>
      <c r="E9" s="12">
        <v>6</v>
      </c>
      <c r="F9" s="8">
        <v>0.31</v>
      </c>
      <c r="G9" s="12">
        <v>17</v>
      </c>
      <c r="H9" s="8">
        <v>1.87</v>
      </c>
      <c r="I9" s="12">
        <v>0</v>
      </c>
    </row>
    <row r="10" spans="2:9" ht="15" customHeight="1" x14ac:dyDescent="0.2">
      <c r="B10" t="s">
        <v>56</v>
      </c>
      <c r="C10" s="12">
        <v>22</v>
      </c>
      <c r="D10" s="8">
        <v>0.76</v>
      </c>
      <c r="E10" s="12">
        <v>11</v>
      </c>
      <c r="F10" s="8">
        <v>0.56999999999999995</v>
      </c>
      <c r="G10" s="12">
        <v>9</v>
      </c>
      <c r="H10" s="8">
        <v>0.99</v>
      </c>
      <c r="I10" s="12">
        <v>2</v>
      </c>
    </row>
    <row r="11" spans="2:9" ht="15" customHeight="1" x14ac:dyDescent="0.2">
      <c r="B11" t="s">
        <v>57</v>
      </c>
      <c r="C11" s="12">
        <v>731</v>
      </c>
      <c r="D11" s="8">
        <v>25.19</v>
      </c>
      <c r="E11" s="12">
        <v>458</v>
      </c>
      <c r="F11" s="8">
        <v>23.71</v>
      </c>
      <c r="G11" s="12">
        <v>273</v>
      </c>
      <c r="H11" s="8">
        <v>30</v>
      </c>
      <c r="I11" s="12">
        <v>0</v>
      </c>
    </row>
    <row r="12" spans="2:9" ht="15" customHeight="1" x14ac:dyDescent="0.2">
      <c r="B12" t="s">
        <v>58</v>
      </c>
      <c r="C12" s="12">
        <v>19</v>
      </c>
      <c r="D12" s="8">
        <v>0.65</v>
      </c>
      <c r="E12" s="12">
        <v>7</v>
      </c>
      <c r="F12" s="8">
        <v>0.36</v>
      </c>
      <c r="G12" s="12">
        <v>12</v>
      </c>
      <c r="H12" s="8">
        <v>1.32</v>
      </c>
      <c r="I12" s="12">
        <v>0</v>
      </c>
    </row>
    <row r="13" spans="2:9" ht="15" customHeight="1" x14ac:dyDescent="0.2">
      <c r="B13" t="s">
        <v>59</v>
      </c>
      <c r="C13" s="12">
        <v>169</v>
      </c>
      <c r="D13" s="8">
        <v>5.82</v>
      </c>
      <c r="E13" s="12">
        <v>83</v>
      </c>
      <c r="F13" s="8">
        <v>4.3</v>
      </c>
      <c r="G13" s="12">
        <v>86</v>
      </c>
      <c r="H13" s="8">
        <v>9.4499999999999993</v>
      </c>
      <c r="I13" s="12">
        <v>0</v>
      </c>
    </row>
    <row r="14" spans="2:9" ht="15" customHeight="1" x14ac:dyDescent="0.2">
      <c r="B14" t="s">
        <v>60</v>
      </c>
      <c r="C14" s="12">
        <v>113</v>
      </c>
      <c r="D14" s="8">
        <v>3.89</v>
      </c>
      <c r="E14" s="12">
        <v>75</v>
      </c>
      <c r="F14" s="8">
        <v>3.88</v>
      </c>
      <c r="G14" s="12">
        <v>37</v>
      </c>
      <c r="H14" s="8">
        <v>4.07</v>
      </c>
      <c r="I14" s="12">
        <v>0</v>
      </c>
    </row>
    <row r="15" spans="2:9" ht="15" customHeight="1" x14ac:dyDescent="0.2">
      <c r="B15" t="s">
        <v>61</v>
      </c>
      <c r="C15" s="12">
        <v>536</v>
      </c>
      <c r="D15" s="8">
        <v>18.47</v>
      </c>
      <c r="E15" s="12">
        <v>474</v>
      </c>
      <c r="F15" s="8">
        <v>24.53</v>
      </c>
      <c r="G15" s="12">
        <v>62</v>
      </c>
      <c r="H15" s="8">
        <v>6.81</v>
      </c>
      <c r="I15" s="12">
        <v>0</v>
      </c>
    </row>
    <row r="16" spans="2:9" ht="15" customHeight="1" x14ac:dyDescent="0.2">
      <c r="B16" t="s">
        <v>62</v>
      </c>
      <c r="C16" s="12">
        <v>275</v>
      </c>
      <c r="D16" s="8">
        <v>9.48</v>
      </c>
      <c r="E16" s="12">
        <v>226</v>
      </c>
      <c r="F16" s="8">
        <v>11.7</v>
      </c>
      <c r="G16" s="12">
        <v>47</v>
      </c>
      <c r="H16" s="8">
        <v>5.16</v>
      </c>
      <c r="I16" s="12">
        <v>1</v>
      </c>
    </row>
    <row r="17" spans="2:9" ht="15" customHeight="1" x14ac:dyDescent="0.2">
      <c r="B17" t="s">
        <v>63</v>
      </c>
      <c r="C17" s="12">
        <v>122</v>
      </c>
      <c r="D17" s="8">
        <v>4.2</v>
      </c>
      <c r="E17" s="12">
        <v>63</v>
      </c>
      <c r="F17" s="8">
        <v>3.26</v>
      </c>
      <c r="G17" s="12">
        <v>20</v>
      </c>
      <c r="H17" s="8">
        <v>2.2000000000000002</v>
      </c>
      <c r="I17" s="12">
        <v>5</v>
      </c>
    </row>
    <row r="18" spans="2:9" ht="15" customHeight="1" x14ac:dyDescent="0.2">
      <c r="B18" t="s">
        <v>64</v>
      </c>
      <c r="C18" s="12">
        <v>108</v>
      </c>
      <c r="D18" s="8">
        <v>3.72</v>
      </c>
      <c r="E18" s="12">
        <v>63</v>
      </c>
      <c r="F18" s="8">
        <v>3.26</v>
      </c>
      <c r="G18" s="12">
        <v>35</v>
      </c>
      <c r="H18" s="8">
        <v>3.85</v>
      </c>
      <c r="I18" s="12">
        <v>0</v>
      </c>
    </row>
    <row r="19" spans="2:9" ht="15" customHeight="1" x14ac:dyDescent="0.2">
      <c r="B19" t="s">
        <v>65</v>
      </c>
      <c r="C19" s="12">
        <v>73</v>
      </c>
      <c r="D19" s="8">
        <v>2.52</v>
      </c>
      <c r="E19" s="12">
        <v>29</v>
      </c>
      <c r="F19" s="8">
        <v>1.5</v>
      </c>
      <c r="G19" s="12">
        <v>38</v>
      </c>
      <c r="H19" s="8">
        <v>4.18</v>
      </c>
      <c r="I19" s="12">
        <v>4</v>
      </c>
    </row>
    <row r="20" spans="2:9" ht="15" customHeight="1" x14ac:dyDescent="0.2">
      <c r="B20" s="9" t="s">
        <v>215</v>
      </c>
      <c r="C20" s="12">
        <f>SUM(LTBL_28209[総数／事業所数])</f>
        <v>2902</v>
      </c>
      <c r="E20" s="12">
        <f>SUBTOTAL(109,LTBL_28209[個人／事業所数])</f>
        <v>1932</v>
      </c>
      <c r="G20" s="12">
        <f>SUBTOTAL(109,LTBL_28209[法人／事業所数])</f>
        <v>910</v>
      </c>
      <c r="I20" s="12">
        <f>SUBTOTAL(109,LTBL_28209[法人以外の団体／事業所数])</f>
        <v>12</v>
      </c>
    </row>
    <row r="21" spans="2:9" ht="15" customHeight="1" x14ac:dyDescent="0.2">
      <c r="E21" s="11">
        <f>LTBL_28209[[#Totals],[個人／事業所数]]/LTBL_28209[[#Totals],[総数／事業所数]]</f>
        <v>0.66574776016540316</v>
      </c>
      <c r="G21" s="11">
        <f>LTBL_28209[[#Totals],[法人／事業所数]]/LTBL_28209[[#Totals],[総数／事業所数]]</f>
        <v>0.31357684355616816</v>
      </c>
      <c r="I21" s="11">
        <f>LTBL_28209[[#Totals],[法人以外の団体／事業所数]]/LTBL_28209[[#Totals],[総数／事業所数]]</f>
        <v>4.1350792556857337E-3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393</v>
      </c>
      <c r="D24" s="8">
        <v>13.54</v>
      </c>
      <c r="E24" s="12">
        <v>352</v>
      </c>
      <c r="F24" s="8">
        <v>18.22</v>
      </c>
      <c r="G24" s="12">
        <v>41</v>
      </c>
      <c r="H24" s="8">
        <v>4.51</v>
      </c>
      <c r="I24" s="12">
        <v>0</v>
      </c>
    </row>
    <row r="25" spans="2:9" ht="15" customHeight="1" x14ac:dyDescent="0.2">
      <c r="B25" t="s">
        <v>83</v>
      </c>
      <c r="C25" s="12">
        <v>229</v>
      </c>
      <c r="D25" s="8">
        <v>7.89</v>
      </c>
      <c r="E25" s="12">
        <v>147</v>
      </c>
      <c r="F25" s="8">
        <v>7.61</v>
      </c>
      <c r="G25" s="12">
        <v>82</v>
      </c>
      <c r="H25" s="8">
        <v>9.01</v>
      </c>
      <c r="I25" s="12">
        <v>0</v>
      </c>
    </row>
    <row r="26" spans="2:9" ht="15" customHeight="1" x14ac:dyDescent="0.2">
      <c r="B26" t="s">
        <v>89</v>
      </c>
      <c r="C26" s="12">
        <v>225</v>
      </c>
      <c r="D26" s="8">
        <v>7.75</v>
      </c>
      <c r="E26" s="12">
        <v>206</v>
      </c>
      <c r="F26" s="8">
        <v>10.66</v>
      </c>
      <c r="G26" s="12">
        <v>19</v>
      </c>
      <c r="H26" s="8">
        <v>2.09</v>
      </c>
      <c r="I26" s="12">
        <v>0</v>
      </c>
    </row>
    <row r="27" spans="2:9" ht="15" customHeight="1" x14ac:dyDescent="0.2">
      <c r="B27" t="s">
        <v>74</v>
      </c>
      <c r="C27" s="12">
        <v>190</v>
      </c>
      <c r="D27" s="8">
        <v>6.55</v>
      </c>
      <c r="E27" s="12">
        <v>91</v>
      </c>
      <c r="F27" s="8">
        <v>4.71</v>
      </c>
      <c r="G27" s="12">
        <v>99</v>
      </c>
      <c r="H27" s="8">
        <v>10.88</v>
      </c>
      <c r="I27" s="12">
        <v>0</v>
      </c>
    </row>
    <row r="28" spans="2:9" ht="15" customHeight="1" x14ac:dyDescent="0.2">
      <c r="B28" t="s">
        <v>81</v>
      </c>
      <c r="C28" s="12">
        <v>172</v>
      </c>
      <c r="D28" s="8">
        <v>5.93</v>
      </c>
      <c r="E28" s="12">
        <v>125</v>
      </c>
      <c r="F28" s="8">
        <v>6.47</v>
      </c>
      <c r="G28" s="12">
        <v>47</v>
      </c>
      <c r="H28" s="8">
        <v>5.16</v>
      </c>
      <c r="I28" s="12">
        <v>0</v>
      </c>
    </row>
    <row r="29" spans="2:9" ht="15" customHeight="1" x14ac:dyDescent="0.2">
      <c r="B29" t="s">
        <v>85</v>
      </c>
      <c r="C29" s="12">
        <v>140</v>
      </c>
      <c r="D29" s="8">
        <v>4.82</v>
      </c>
      <c r="E29" s="12">
        <v>79</v>
      </c>
      <c r="F29" s="8">
        <v>4.09</v>
      </c>
      <c r="G29" s="12">
        <v>61</v>
      </c>
      <c r="H29" s="8">
        <v>6.7</v>
      </c>
      <c r="I29" s="12">
        <v>0</v>
      </c>
    </row>
    <row r="30" spans="2:9" ht="15" customHeight="1" x14ac:dyDescent="0.2">
      <c r="B30" t="s">
        <v>105</v>
      </c>
      <c r="C30" s="12">
        <v>126</v>
      </c>
      <c r="D30" s="8">
        <v>4.34</v>
      </c>
      <c r="E30" s="12">
        <v>111</v>
      </c>
      <c r="F30" s="8">
        <v>5.75</v>
      </c>
      <c r="G30" s="12">
        <v>15</v>
      </c>
      <c r="H30" s="8">
        <v>1.65</v>
      </c>
      <c r="I30" s="12">
        <v>0</v>
      </c>
    </row>
    <row r="31" spans="2:9" ht="15" customHeight="1" x14ac:dyDescent="0.2">
      <c r="B31" t="s">
        <v>91</v>
      </c>
      <c r="C31" s="12">
        <v>122</v>
      </c>
      <c r="D31" s="8">
        <v>4.2</v>
      </c>
      <c r="E31" s="12">
        <v>63</v>
      </c>
      <c r="F31" s="8">
        <v>3.26</v>
      </c>
      <c r="G31" s="12">
        <v>20</v>
      </c>
      <c r="H31" s="8">
        <v>2.2000000000000002</v>
      </c>
      <c r="I31" s="12">
        <v>5</v>
      </c>
    </row>
    <row r="32" spans="2:9" ht="15" customHeight="1" x14ac:dyDescent="0.2">
      <c r="B32" t="s">
        <v>75</v>
      </c>
      <c r="C32" s="12">
        <v>114</v>
      </c>
      <c r="D32" s="8">
        <v>3.93</v>
      </c>
      <c r="E32" s="12">
        <v>88</v>
      </c>
      <c r="F32" s="8">
        <v>4.55</v>
      </c>
      <c r="G32" s="12">
        <v>26</v>
      </c>
      <c r="H32" s="8">
        <v>2.86</v>
      </c>
      <c r="I32" s="12">
        <v>0</v>
      </c>
    </row>
    <row r="33" spans="2:9" ht="15" customHeight="1" x14ac:dyDescent="0.2">
      <c r="B33" t="s">
        <v>80</v>
      </c>
      <c r="C33" s="12">
        <v>98</v>
      </c>
      <c r="D33" s="8">
        <v>3.38</v>
      </c>
      <c r="E33" s="12">
        <v>64</v>
      </c>
      <c r="F33" s="8">
        <v>3.31</v>
      </c>
      <c r="G33" s="12">
        <v>34</v>
      </c>
      <c r="H33" s="8">
        <v>3.74</v>
      </c>
      <c r="I33" s="12">
        <v>0</v>
      </c>
    </row>
    <row r="34" spans="2:9" ht="15" customHeight="1" x14ac:dyDescent="0.2">
      <c r="B34" t="s">
        <v>82</v>
      </c>
      <c r="C34" s="12">
        <v>98</v>
      </c>
      <c r="D34" s="8">
        <v>3.38</v>
      </c>
      <c r="E34" s="12">
        <v>69</v>
      </c>
      <c r="F34" s="8">
        <v>3.57</v>
      </c>
      <c r="G34" s="12">
        <v>29</v>
      </c>
      <c r="H34" s="8">
        <v>3.19</v>
      </c>
      <c r="I34" s="12">
        <v>0</v>
      </c>
    </row>
    <row r="35" spans="2:9" ht="15" customHeight="1" x14ac:dyDescent="0.2">
      <c r="B35" t="s">
        <v>76</v>
      </c>
      <c r="C35" s="12">
        <v>89</v>
      </c>
      <c r="D35" s="8">
        <v>3.07</v>
      </c>
      <c r="E35" s="12">
        <v>53</v>
      </c>
      <c r="F35" s="8">
        <v>2.74</v>
      </c>
      <c r="G35" s="12">
        <v>36</v>
      </c>
      <c r="H35" s="8">
        <v>3.96</v>
      </c>
      <c r="I35" s="12">
        <v>0</v>
      </c>
    </row>
    <row r="36" spans="2:9" ht="15" customHeight="1" x14ac:dyDescent="0.2">
      <c r="B36" t="s">
        <v>99</v>
      </c>
      <c r="C36" s="12">
        <v>89</v>
      </c>
      <c r="D36" s="8">
        <v>3.07</v>
      </c>
      <c r="E36" s="12">
        <v>64</v>
      </c>
      <c r="F36" s="8">
        <v>3.31</v>
      </c>
      <c r="G36" s="12">
        <v>25</v>
      </c>
      <c r="H36" s="8">
        <v>2.75</v>
      </c>
      <c r="I36" s="12">
        <v>0</v>
      </c>
    </row>
    <row r="37" spans="2:9" ht="15" customHeight="1" x14ac:dyDescent="0.2">
      <c r="B37" t="s">
        <v>92</v>
      </c>
      <c r="C37" s="12">
        <v>65</v>
      </c>
      <c r="D37" s="8">
        <v>2.2400000000000002</v>
      </c>
      <c r="E37" s="12">
        <v>62</v>
      </c>
      <c r="F37" s="8">
        <v>3.21</v>
      </c>
      <c r="G37" s="12">
        <v>3</v>
      </c>
      <c r="H37" s="8">
        <v>0.33</v>
      </c>
      <c r="I37" s="12">
        <v>0</v>
      </c>
    </row>
    <row r="38" spans="2:9" ht="15" customHeight="1" x14ac:dyDescent="0.2">
      <c r="B38" t="s">
        <v>86</v>
      </c>
      <c r="C38" s="12">
        <v>58</v>
      </c>
      <c r="D38" s="8">
        <v>2</v>
      </c>
      <c r="E38" s="12">
        <v>47</v>
      </c>
      <c r="F38" s="8">
        <v>2.4300000000000002</v>
      </c>
      <c r="G38" s="12">
        <v>11</v>
      </c>
      <c r="H38" s="8">
        <v>1.21</v>
      </c>
      <c r="I38" s="12">
        <v>0</v>
      </c>
    </row>
    <row r="39" spans="2:9" ht="15" customHeight="1" x14ac:dyDescent="0.2">
      <c r="B39" t="s">
        <v>87</v>
      </c>
      <c r="C39" s="12">
        <v>54</v>
      </c>
      <c r="D39" s="8">
        <v>1.86</v>
      </c>
      <c r="E39" s="12">
        <v>28</v>
      </c>
      <c r="F39" s="8">
        <v>1.45</v>
      </c>
      <c r="G39" s="12">
        <v>25</v>
      </c>
      <c r="H39" s="8">
        <v>2.75</v>
      </c>
      <c r="I39" s="12">
        <v>0</v>
      </c>
    </row>
    <row r="40" spans="2:9" ht="15" customHeight="1" x14ac:dyDescent="0.2">
      <c r="B40" t="s">
        <v>93</v>
      </c>
      <c r="C40" s="12">
        <v>43</v>
      </c>
      <c r="D40" s="8">
        <v>1.48</v>
      </c>
      <c r="E40" s="12">
        <v>1</v>
      </c>
      <c r="F40" s="8">
        <v>0.05</v>
      </c>
      <c r="G40" s="12">
        <v>32</v>
      </c>
      <c r="H40" s="8">
        <v>3.52</v>
      </c>
      <c r="I40" s="12">
        <v>0</v>
      </c>
    </row>
    <row r="41" spans="2:9" ht="15" customHeight="1" x14ac:dyDescent="0.2">
      <c r="B41" t="s">
        <v>110</v>
      </c>
      <c r="C41" s="12">
        <v>37</v>
      </c>
      <c r="D41" s="8">
        <v>1.27</v>
      </c>
      <c r="E41" s="12">
        <v>32</v>
      </c>
      <c r="F41" s="8">
        <v>1.66</v>
      </c>
      <c r="G41" s="12">
        <v>5</v>
      </c>
      <c r="H41" s="8">
        <v>0.55000000000000004</v>
      </c>
      <c r="I41" s="12">
        <v>0</v>
      </c>
    </row>
    <row r="42" spans="2:9" ht="15" customHeight="1" x14ac:dyDescent="0.2">
      <c r="B42" t="s">
        <v>107</v>
      </c>
      <c r="C42" s="12">
        <v>28</v>
      </c>
      <c r="D42" s="8">
        <v>0.96</v>
      </c>
      <c r="E42" s="12">
        <v>13</v>
      </c>
      <c r="F42" s="8">
        <v>0.67</v>
      </c>
      <c r="G42" s="12">
        <v>13</v>
      </c>
      <c r="H42" s="8">
        <v>1.43</v>
      </c>
      <c r="I42" s="12">
        <v>1</v>
      </c>
    </row>
    <row r="43" spans="2:9" ht="15" customHeight="1" x14ac:dyDescent="0.2">
      <c r="B43" t="s">
        <v>97</v>
      </c>
      <c r="C43" s="12">
        <v>27</v>
      </c>
      <c r="D43" s="8">
        <v>0.93</v>
      </c>
      <c r="E43" s="12">
        <v>8</v>
      </c>
      <c r="F43" s="8">
        <v>0.41</v>
      </c>
      <c r="G43" s="12">
        <v>19</v>
      </c>
      <c r="H43" s="8">
        <v>2.09</v>
      </c>
      <c r="I43" s="12">
        <v>0</v>
      </c>
    </row>
    <row r="44" spans="2:9" ht="15" customHeight="1" x14ac:dyDescent="0.2">
      <c r="B44" t="s">
        <v>79</v>
      </c>
      <c r="C44" s="12">
        <v>27</v>
      </c>
      <c r="D44" s="8">
        <v>0.93</v>
      </c>
      <c r="E44" s="12">
        <v>10</v>
      </c>
      <c r="F44" s="8">
        <v>0.52</v>
      </c>
      <c r="G44" s="12">
        <v>17</v>
      </c>
      <c r="H44" s="8">
        <v>1.87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138</v>
      </c>
      <c r="C48" s="12">
        <v>115</v>
      </c>
      <c r="D48" s="8">
        <v>3.96</v>
      </c>
      <c r="E48" s="12">
        <v>110</v>
      </c>
      <c r="F48" s="8">
        <v>5.69</v>
      </c>
      <c r="G48" s="12">
        <v>5</v>
      </c>
      <c r="H48" s="8">
        <v>0.55000000000000004</v>
      </c>
      <c r="I48" s="12">
        <v>0</v>
      </c>
    </row>
    <row r="49" spans="2:9" ht="15" customHeight="1" x14ac:dyDescent="0.2">
      <c r="B49" t="s">
        <v>171</v>
      </c>
      <c r="C49" s="12">
        <v>114</v>
      </c>
      <c r="D49" s="8">
        <v>3.93</v>
      </c>
      <c r="E49" s="12">
        <v>102</v>
      </c>
      <c r="F49" s="8">
        <v>5.28</v>
      </c>
      <c r="G49" s="12">
        <v>12</v>
      </c>
      <c r="H49" s="8">
        <v>1.32</v>
      </c>
      <c r="I49" s="12">
        <v>0</v>
      </c>
    </row>
    <row r="50" spans="2:9" ht="15" customHeight="1" x14ac:dyDescent="0.2">
      <c r="B50" t="s">
        <v>136</v>
      </c>
      <c r="C50" s="12">
        <v>108</v>
      </c>
      <c r="D50" s="8">
        <v>3.72</v>
      </c>
      <c r="E50" s="12">
        <v>98</v>
      </c>
      <c r="F50" s="8">
        <v>5.07</v>
      </c>
      <c r="G50" s="12">
        <v>10</v>
      </c>
      <c r="H50" s="8">
        <v>1.1000000000000001</v>
      </c>
      <c r="I50" s="12">
        <v>0</v>
      </c>
    </row>
    <row r="51" spans="2:9" ht="15" customHeight="1" x14ac:dyDescent="0.2">
      <c r="B51" t="s">
        <v>132</v>
      </c>
      <c r="C51" s="12">
        <v>99</v>
      </c>
      <c r="D51" s="8">
        <v>3.41</v>
      </c>
      <c r="E51" s="12">
        <v>63</v>
      </c>
      <c r="F51" s="8">
        <v>3.26</v>
      </c>
      <c r="G51" s="12">
        <v>36</v>
      </c>
      <c r="H51" s="8">
        <v>3.96</v>
      </c>
      <c r="I51" s="12">
        <v>0</v>
      </c>
    </row>
    <row r="52" spans="2:9" ht="15" customHeight="1" x14ac:dyDescent="0.2">
      <c r="B52" t="s">
        <v>170</v>
      </c>
      <c r="C52" s="12">
        <v>81</v>
      </c>
      <c r="D52" s="8">
        <v>2.79</v>
      </c>
      <c r="E52" s="12">
        <v>60</v>
      </c>
      <c r="F52" s="8">
        <v>3.11</v>
      </c>
      <c r="G52" s="12">
        <v>21</v>
      </c>
      <c r="H52" s="8">
        <v>2.31</v>
      </c>
      <c r="I52" s="12">
        <v>0</v>
      </c>
    </row>
    <row r="53" spans="2:9" ht="15" customHeight="1" x14ac:dyDescent="0.2">
      <c r="B53" t="s">
        <v>135</v>
      </c>
      <c r="C53" s="12">
        <v>74</v>
      </c>
      <c r="D53" s="8">
        <v>2.5499999999999998</v>
      </c>
      <c r="E53" s="12">
        <v>71</v>
      </c>
      <c r="F53" s="8">
        <v>3.67</v>
      </c>
      <c r="G53" s="12">
        <v>3</v>
      </c>
      <c r="H53" s="8">
        <v>0.33</v>
      </c>
      <c r="I53" s="12">
        <v>0</v>
      </c>
    </row>
    <row r="54" spans="2:9" ht="15" customHeight="1" x14ac:dyDescent="0.2">
      <c r="B54" t="s">
        <v>133</v>
      </c>
      <c r="C54" s="12">
        <v>71</v>
      </c>
      <c r="D54" s="8">
        <v>2.4500000000000002</v>
      </c>
      <c r="E54" s="12">
        <v>58</v>
      </c>
      <c r="F54" s="8">
        <v>3</v>
      </c>
      <c r="G54" s="12">
        <v>13</v>
      </c>
      <c r="H54" s="8">
        <v>1.43</v>
      </c>
      <c r="I54" s="12">
        <v>0</v>
      </c>
    </row>
    <row r="55" spans="2:9" ht="15" customHeight="1" x14ac:dyDescent="0.2">
      <c r="B55" t="s">
        <v>137</v>
      </c>
      <c r="C55" s="12">
        <v>71</v>
      </c>
      <c r="D55" s="8">
        <v>2.4500000000000002</v>
      </c>
      <c r="E55" s="12">
        <v>70</v>
      </c>
      <c r="F55" s="8">
        <v>3.62</v>
      </c>
      <c r="G55" s="12">
        <v>1</v>
      </c>
      <c r="H55" s="8">
        <v>0.11</v>
      </c>
      <c r="I55" s="12">
        <v>0</v>
      </c>
    </row>
    <row r="56" spans="2:9" ht="15" customHeight="1" x14ac:dyDescent="0.2">
      <c r="B56" t="s">
        <v>129</v>
      </c>
      <c r="C56" s="12">
        <v>62</v>
      </c>
      <c r="D56" s="8">
        <v>2.14</v>
      </c>
      <c r="E56" s="12">
        <v>47</v>
      </c>
      <c r="F56" s="8">
        <v>2.4300000000000002</v>
      </c>
      <c r="G56" s="12">
        <v>15</v>
      </c>
      <c r="H56" s="8">
        <v>1.65</v>
      </c>
      <c r="I56" s="12">
        <v>0</v>
      </c>
    </row>
    <row r="57" spans="2:9" ht="15" customHeight="1" x14ac:dyDescent="0.2">
      <c r="B57" t="s">
        <v>122</v>
      </c>
      <c r="C57" s="12">
        <v>61</v>
      </c>
      <c r="D57" s="8">
        <v>2.1</v>
      </c>
      <c r="E57" s="12">
        <v>20</v>
      </c>
      <c r="F57" s="8">
        <v>1.04</v>
      </c>
      <c r="G57" s="12">
        <v>41</v>
      </c>
      <c r="H57" s="8">
        <v>4.51</v>
      </c>
      <c r="I57" s="12">
        <v>0</v>
      </c>
    </row>
    <row r="58" spans="2:9" ht="15" customHeight="1" x14ac:dyDescent="0.2">
      <c r="B58" t="s">
        <v>169</v>
      </c>
      <c r="C58" s="12">
        <v>58</v>
      </c>
      <c r="D58" s="8">
        <v>2</v>
      </c>
      <c r="E58" s="12">
        <v>39</v>
      </c>
      <c r="F58" s="8">
        <v>2.02</v>
      </c>
      <c r="G58" s="12">
        <v>19</v>
      </c>
      <c r="H58" s="8">
        <v>2.09</v>
      </c>
      <c r="I58" s="12">
        <v>0</v>
      </c>
    </row>
    <row r="59" spans="2:9" ht="15" customHeight="1" x14ac:dyDescent="0.2">
      <c r="B59" t="s">
        <v>151</v>
      </c>
      <c r="C59" s="12">
        <v>58</v>
      </c>
      <c r="D59" s="8">
        <v>2</v>
      </c>
      <c r="E59" s="12">
        <v>39</v>
      </c>
      <c r="F59" s="8">
        <v>2.02</v>
      </c>
      <c r="G59" s="12">
        <v>19</v>
      </c>
      <c r="H59" s="8">
        <v>2.09</v>
      </c>
      <c r="I59" s="12">
        <v>0</v>
      </c>
    </row>
    <row r="60" spans="2:9" ht="15" customHeight="1" x14ac:dyDescent="0.2">
      <c r="B60" t="s">
        <v>127</v>
      </c>
      <c r="C60" s="12">
        <v>56</v>
      </c>
      <c r="D60" s="8">
        <v>1.93</v>
      </c>
      <c r="E60" s="12">
        <v>33</v>
      </c>
      <c r="F60" s="8">
        <v>1.71</v>
      </c>
      <c r="G60" s="12">
        <v>23</v>
      </c>
      <c r="H60" s="8">
        <v>2.5299999999999998</v>
      </c>
      <c r="I60" s="12">
        <v>0</v>
      </c>
    </row>
    <row r="61" spans="2:9" ht="15" customHeight="1" x14ac:dyDescent="0.2">
      <c r="B61" t="s">
        <v>134</v>
      </c>
      <c r="C61" s="12">
        <v>56</v>
      </c>
      <c r="D61" s="8">
        <v>1.93</v>
      </c>
      <c r="E61" s="12">
        <v>52</v>
      </c>
      <c r="F61" s="8">
        <v>2.69</v>
      </c>
      <c r="G61" s="12">
        <v>4</v>
      </c>
      <c r="H61" s="8">
        <v>0.44</v>
      </c>
      <c r="I61" s="12">
        <v>0</v>
      </c>
    </row>
    <row r="62" spans="2:9" ht="15" customHeight="1" x14ac:dyDescent="0.2">
      <c r="B62" t="s">
        <v>140</v>
      </c>
      <c r="C62" s="12">
        <v>52</v>
      </c>
      <c r="D62" s="8">
        <v>1.79</v>
      </c>
      <c r="E62" s="12">
        <v>45</v>
      </c>
      <c r="F62" s="8">
        <v>2.33</v>
      </c>
      <c r="G62" s="12">
        <v>7</v>
      </c>
      <c r="H62" s="8">
        <v>0.77</v>
      </c>
      <c r="I62" s="12">
        <v>0</v>
      </c>
    </row>
    <row r="63" spans="2:9" ht="15" customHeight="1" x14ac:dyDescent="0.2">
      <c r="B63" t="s">
        <v>124</v>
      </c>
      <c r="C63" s="12">
        <v>50</v>
      </c>
      <c r="D63" s="8">
        <v>1.72</v>
      </c>
      <c r="E63" s="12">
        <v>34</v>
      </c>
      <c r="F63" s="8">
        <v>1.76</v>
      </c>
      <c r="G63" s="12">
        <v>16</v>
      </c>
      <c r="H63" s="8">
        <v>1.76</v>
      </c>
      <c r="I63" s="12">
        <v>0</v>
      </c>
    </row>
    <row r="64" spans="2:9" ht="15" customHeight="1" x14ac:dyDescent="0.2">
      <c r="B64" t="s">
        <v>141</v>
      </c>
      <c r="C64" s="12">
        <v>50</v>
      </c>
      <c r="D64" s="8">
        <v>1.72</v>
      </c>
      <c r="E64" s="12">
        <v>48</v>
      </c>
      <c r="F64" s="8">
        <v>2.48</v>
      </c>
      <c r="G64" s="12">
        <v>2</v>
      </c>
      <c r="H64" s="8">
        <v>0.22</v>
      </c>
      <c r="I64" s="12">
        <v>0</v>
      </c>
    </row>
    <row r="65" spans="2:9" ht="15" customHeight="1" x14ac:dyDescent="0.2">
      <c r="B65" t="s">
        <v>128</v>
      </c>
      <c r="C65" s="12">
        <v>48</v>
      </c>
      <c r="D65" s="8">
        <v>1.65</v>
      </c>
      <c r="E65" s="12">
        <v>28</v>
      </c>
      <c r="F65" s="8">
        <v>1.45</v>
      </c>
      <c r="G65" s="12">
        <v>20</v>
      </c>
      <c r="H65" s="8">
        <v>2.2000000000000002</v>
      </c>
      <c r="I65" s="12">
        <v>0</v>
      </c>
    </row>
    <row r="66" spans="2:9" ht="15" customHeight="1" x14ac:dyDescent="0.2">
      <c r="B66" t="s">
        <v>126</v>
      </c>
      <c r="C66" s="12">
        <v>46</v>
      </c>
      <c r="D66" s="8">
        <v>1.59</v>
      </c>
      <c r="E66" s="12">
        <v>33</v>
      </c>
      <c r="F66" s="8">
        <v>1.71</v>
      </c>
      <c r="G66" s="12">
        <v>13</v>
      </c>
      <c r="H66" s="8">
        <v>1.43</v>
      </c>
      <c r="I66" s="12">
        <v>0</v>
      </c>
    </row>
    <row r="67" spans="2:9" ht="15" customHeight="1" x14ac:dyDescent="0.2">
      <c r="B67" t="s">
        <v>123</v>
      </c>
      <c r="C67" s="12">
        <v>44</v>
      </c>
      <c r="D67" s="8">
        <v>1.52</v>
      </c>
      <c r="E67" s="12">
        <v>22</v>
      </c>
      <c r="F67" s="8">
        <v>1.1399999999999999</v>
      </c>
      <c r="G67" s="12">
        <v>22</v>
      </c>
      <c r="H67" s="8">
        <v>2.42</v>
      </c>
      <c r="I67" s="12">
        <v>0</v>
      </c>
    </row>
    <row r="69" spans="2:9" ht="15" customHeight="1" x14ac:dyDescent="0.2">
      <c r="B69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4928-FB41-4209-9CF0-8493CE48C6D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238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663</v>
      </c>
      <c r="D6" s="8">
        <v>14.4</v>
      </c>
      <c r="E6" s="12">
        <v>189</v>
      </c>
      <c r="F6" s="8">
        <v>7.47</v>
      </c>
      <c r="G6" s="12">
        <v>474</v>
      </c>
      <c r="H6" s="8">
        <v>23.3</v>
      </c>
      <c r="I6" s="12">
        <v>0</v>
      </c>
    </row>
    <row r="7" spans="2:9" ht="15" customHeight="1" x14ac:dyDescent="0.2">
      <c r="B7" t="s">
        <v>53</v>
      </c>
      <c r="C7" s="12">
        <v>363</v>
      </c>
      <c r="D7" s="8">
        <v>7.88</v>
      </c>
      <c r="E7" s="12">
        <v>139</v>
      </c>
      <c r="F7" s="8">
        <v>5.49</v>
      </c>
      <c r="G7" s="12">
        <v>224</v>
      </c>
      <c r="H7" s="8">
        <v>11.01</v>
      </c>
      <c r="I7" s="12">
        <v>0</v>
      </c>
    </row>
    <row r="8" spans="2:9" ht="15" customHeight="1" x14ac:dyDescent="0.2">
      <c r="B8" t="s">
        <v>54</v>
      </c>
      <c r="C8" s="12">
        <v>8</v>
      </c>
      <c r="D8" s="8">
        <v>0.17</v>
      </c>
      <c r="E8" s="12">
        <v>0</v>
      </c>
      <c r="F8" s="8">
        <v>0</v>
      </c>
      <c r="G8" s="12">
        <v>8</v>
      </c>
      <c r="H8" s="8">
        <v>0.39</v>
      </c>
      <c r="I8" s="12">
        <v>0</v>
      </c>
    </row>
    <row r="9" spans="2:9" ht="15" customHeight="1" x14ac:dyDescent="0.2">
      <c r="B9" t="s">
        <v>55</v>
      </c>
      <c r="C9" s="12">
        <v>27</v>
      </c>
      <c r="D9" s="8">
        <v>0.59</v>
      </c>
      <c r="E9" s="12">
        <v>0</v>
      </c>
      <c r="F9" s="8">
        <v>0</v>
      </c>
      <c r="G9" s="12">
        <v>27</v>
      </c>
      <c r="H9" s="8">
        <v>1.33</v>
      </c>
      <c r="I9" s="12">
        <v>0</v>
      </c>
    </row>
    <row r="10" spans="2:9" ht="15" customHeight="1" x14ac:dyDescent="0.2">
      <c r="B10" t="s">
        <v>56</v>
      </c>
      <c r="C10" s="12">
        <v>41</v>
      </c>
      <c r="D10" s="8">
        <v>0.89</v>
      </c>
      <c r="E10" s="12">
        <v>5</v>
      </c>
      <c r="F10" s="8">
        <v>0.2</v>
      </c>
      <c r="G10" s="12">
        <v>36</v>
      </c>
      <c r="H10" s="8">
        <v>1.77</v>
      </c>
      <c r="I10" s="12">
        <v>0</v>
      </c>
    </row>
    <row r="11" spans="2:9" ht="15" customHeight="1" x14ac:dyDescent="0.2">
      <c r="B11" t="s">
        <v>57</v>
      </c>
      <c r="C11" s="12">
        <v>940</v>
      </c>
      <c r="D11" s="8">
        <v>20.420000000000002</v>
      </c>
      <c r="E11" s="12">
        <v>447</v>
      </c>
      <c r="F11" s="8">
        <v>17.66</v>
      </c>
      <c r="G11" s="12">
        <v>493</v>
      </c>
      <c r="H11" s="8">
        <v>24.24</v>
      </c>
      <c r="I11" s="12">
        <v>0</v>
      </c>
    </row>
    <row r="12" spans="2:9" ht="15" customHeight="1" x14ac:dyDescent="0.2">
      <c r="B12" t="s">
        <v>58</v>
      </c>
      <c r="C12" s="12">
        <v>32</v>
      </c>
      <c r="D12" s="8">
        <v>0.7</v>
      </c>
      <c r="E12" s="12">
        <v>10</v>
      </c>
      <c r="F12" s="8">
        <v>0.4</v>
      </c>
      <c r="G12" s="12">
        <v>22</v>
      </c>
      <c r="H12" s="8">
        <v>1.08</v>
      </c>
      <c r="I12" s="12">
        <v>0</v>
      </c>
    </row>
    <row r="13" spans="2:9" ht="15" customHeight="1" x14ac:dyDescent="0.2">
      <c r="B13" t="s">
        <v>59</v>
      </c>
      <c r="C13" s="12">
        <v>468</v>
      </c>
      <c r="D13" s="8">
        <v>10.17</v>
      </c>
      <c r="E13" s="12">
        <v>207</v>
      </c>
      <c r="F13" s="8">
        <v>8.18</v>
      </c>
      <c r="G13" s="12">
        <v>261</v>
      </c>
      <c r="H13" s="8">
        <v>12.83</v>
      </c>
      <c r="I13" s="12">
        <v>0</v>
      </c>
    </row>
    <row r="14" spans="2:9" ht="15" customHeight="1" x14ac:dyDescent="0.2">
      <c r="B14" t="s">
        <v>60</v>
      </c>
      <c r="C14" s="12">
        <v>209</v>
      </c>
      <c r="D14" s="8">
        <v>4.54</v>
      </c>
      <c r="E14" s="12">
        <v>131</v>
      </c>
      <c r="F14" s="8">
        <v>5.18</v>
      </c>
      <c r="G14" s="12">
        <v>78</v>
      </c>
      <c r="H14" s="8">
        <v>3.83</v>
      </c>
      <c r="I14" s="12">
        <v>0</v>
      </c>
    </row>
    <row r="15" spans="2:9" ht="15" customHeight="1" x14ac:dyDescent="0.2">
      <c r="B15" t="s">
        <v>61</v>
      </c>
      <c r="C15" s="12">
        <v>578</v>
      </c>
      <c r="D15" s="8">
        <v>12.55</v>
      </c>
      <c r="E15" s="12">
        <v>510</v>
      </c>
      <c r="F15" s="8">
        <v>20.149999999999999</v>
      </c>
      <c r="G15" s="12">
        <v>66</v>
      </c>
      <c r="H15" s="8">
        <v>3.24</v>
      </c>
      <c r="I15" s="12">
        <v>0</v>
      </c>
    </row>
    <row r="16" spans="2:9" ht="15" customHeight="1" x14ac:dyDescent="0.2">
      <c r="B16" t="s">
        <v>62</v>
      </c>
      <c r="C16" s="12">
        <v>636</v>
      </c>
      <c r="D16" s="8">
        <v>13.81</v>
      </c>
      <c r="E16" s="12">
        <v>505</v>
      </c>
      <c r="F16" s="8">
        <v>19.95</v>
      </c>
      <c r="G16" s="12">
        <v>129</v>
      </c>
      <c r="H16" s="8">
        <v>6.34</v>
      </c>
      <c r="I16" s="12">
        <v>1</v>
      </c>
    </row>
    <row r="17" spans="2:9" ht="15" customHeight="1" x14ac:dyDescent="0.2">
      <c r="B17" t="s">
        <v>63</v>
      </c>
      <c r="C17" s="12">
        <v>246</v>
      </c>
      <c r="D17" s="8">
        <v>5.34</v>
      </c>
      <c r="E17" s="12">
        <v>182</v>
      </c>
      <c r="F17" s="8">
        <v>7.19</v>
      </c>
      <c r="G17" s="12">
        <v>52</v>
      </c>
      <c r="H17" s="8">
        <v>2.56</v>
      </c>
      <c r="I17" s="12">
        <v>1</v>
      </c>
    </row>
    <row r="18" spans="2:9" ht="15" customHeight="1" x14ac:dyDescent="0.2">
      <c r="B18" t="s">
        <v>64</v>
      </c>
      <c r="C18" s="12">
        <v>228</v>
      </c>
      <c r="D18" s="8">
        <v>4.95</v>
      </c>
      <c r="E18" s="12">
        <v>145</v>
      </c>
      <c r="F18" s="8">
        <v>5.73</v>
      </c>
      <c r="G18" s="12">
        <v>72</v>
      </c>
      <c r="H18" s="8">
        <v>3.54</v>
      </c>
      <c r="I18" s="12">
        <v>0</v>
      </c>
    </row>
    <row r="19" spans="2:9" ht="15" customHeight="1" x14ac:dyDescent="0.2">
      <c r="B19" t="s">
        <v>65</v>
      </c>
      <c r="C19" s="12">
        <v>165</v>
      </c>
      <c r="D19" s="8">
        <v>3.58</v>
      </c>
      <c r="E19" s="12">
        <v>61</v>
      </c>
      <c r="F19" s="8">
        <v>2.41</v>
      </c>
      <c r="G19" s="12">
        <v>92</v>
      </c>
      <c r="H19" s="8">
        <v>4.5199999999999996</v>
      </c>
      <c r="I19" s="12">
        <v>9</v>
      </c>
    </row>
    <row r="20" spans="2:9" ht="15" customHeight="1" x14ac:dyDescent="0.2">
      <c r="B20" s="9" t="s">
        <v>215</v>
      </c>
      <c r="C20" s="12">
        <f>SUM(LTBL_28210[総数／事業所数])</f>
        <v>4604</v>
      </c>
      <c r="E20" s="12">
        <f>SUBTOTAL(109,LTBL_28210[個人／事業所数])</f>
        <v>2531</v>
      </c>
      <c r="G20" s="12">
        <f>SUBTOTAL(109,LTBL_28210[法人／事業所数])</f>
        <v>2034</v>
      </c>
      <c r="I20" s="12">
        <f>SUBTOTAL(109,LTBL_28210[法人以外の団体／事業所数])</f>
        <v>11</v>
      </c>
    </row>
    <row r="21" spans="2:9" ht="15" customHeight="1" x14ac:dyDescent="0.2">
      <c r="E21" s="11">
        <f>LTBL_28210[[#Totals],[個人／事業所数]]/LTBL_28210[[#Totals],[総数／事業所数]]</f>
        <v>0.54973935708079935</v>
      </c>
      <c r="G21" s="11">
        <f>LTBL_28210[[#Totals],[法人／事業所数]]/LTBL_28210[[#Totals],[総数／事業所数]]</f>
        <v>0.44178974804517812</v>
      </c>
      <c r="I21" s="11">
        <f>LTBL_28210[[#Totals],[法人以外の団体／事業所数]]/LTBL_28210[[#Totals],[総数／事業所数]]</f>
        <v>2.3892267593397048E-3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547</v>
      </c>
      <c r="D24" s="8">
        <v>11.88</v>
      </c>
      <c r="E24" s="12">
        <v>502</v>
      </c>
      <c r="F24" s="8">
        <v>19.829999999999998</v>
      </c>
      <c r="G24" s="12">
        <v>45</v>
      </c>
      <c r="H24" s="8">
        <v>2.21</v>
      </c>
      <c r="I24" s="12">
        <v>0</v>
      </c>
    </row>
    <row r="25" spans="2:9" ht="15" customHeight="1" x14ac:dyDescent="0.2">
      <c r="B25" t="s">
        <v>89</v>
      </c>
      <c r="C25" s="12">
        <v>532</v>
      </c>
      <c r="D25" s="8">
        <v>11.56</v>
      </c>
      <c r="E25" s="12">
        <v>447</v>
      </c>
      <c r="F25" s="8">
        <v>17.66</v>
      </c>
      <c r="G25" s="12">
        <v>85</v>
      </c>
      <c r="H25" s="8">
        <v>4.18</v>
      </c>
      <c r="I25" s="12">
        <v>0</v>
      </c>
    </row>
    <row r="26" spans="2:9" ht="15" customHeight="1" x14ac:dyDescent="0.2">
      <c r="B26" t="s">
        <v>85</v>
      </c>
      <c r="C26" s="12">
        <v>348</v>
      </c>
      <c r="D26" s="8">
        <v>7.56</v>
      </c>
      <c r="E26" s="12">
        <v>186</v>
      </c>
      <c r="F26" s="8">
        <v>7.35</v>
      </c>
      <c r="G26" s="12">
        <v>162</v>
      </c>
      <c r="H26" s="8">
        <v>7.96</v>
      </c>
      <c r="I26" s="12">
        <v>0</v>
      </c>
    </row>
    <row r="27" spans="2:9" ht="15" customHeight="1" x14ac:dyDescent="0.2">
      <c r="B27" t="s">
        <v>74</v>
      </c>
      <c r="C27" s="12">
        <v>300</v>
      </c>
      <c r="D27" s="8">
        <v>6.52</v>
      </c>
      <c r="E27" s="12">
        <v>77</v>
      </c>
      <c r="F27" s="8">
        <v>3.04</v>
      </c>
      <c r="G27" s="12">
        <v>223</v>
      </c>
      <c r="H27" s="8">
        <v>10.96</v>
      </c>
      <c r="I27" s="12">
        <v>0</v>
      </c>
    </row>
    <row r="28" spans="2:9" ht="15" customHeight="1" x14ac:dyDescent="0.2">
      <c r="B28" t="s">
        <v>83</v>
      </c>
      <c r="C28" s="12">
        <v>276</v>
      </c>
      <c r="D28" s="8">
        <v>5.99</v>
      </c>
      <c r="E28" s="12">
        <v>116</v>
      </c>
      <c r="F28" s="8">
        <v>4.58</v>
      </c>
      <c r="G28" s="12">
        <v>160</v>
      </c>
      <c r="H28" s="8">
        <v>7.87</v>
      </c>
      <c r="I28" s="12">
        <v>0</v>
      </c>
    </row>
    <row r="29" spans="2:9" ht="15" customHeight="1" x14ac:dyDescent="0.2">
      <c r="B29" t="s">
        <v>91</v>
      </c>
      <c r="C29" s="12">
        <v>246</v>
      </c>
      <c r="D29" s="8">
        <v>5.34</v>
      </c>
      <c r="E29" s="12">
        <v>182</v>
      </c>
      <c r="F29" s="8">
        <v>7.19</v>
      </c>
      <c r="G29" s="12">
        <v>52</v>
      </c>
      <c r="H29" s="8">
        <v>2.56</v>
      </c>
      <c r="I29" s="12">
        <v>1</v>
      </c>
    </row>
    <row r="30" spans="2:9" ht="15" customHeight="1" x14ac:dyDescent="0.2">
      <c r="B30" t="s">
        <v>76</v>
      </c>
      <c r="C30" s="12">
        <v>201</v>
      </c>
      <c r="D30" s="8">
        <v>4.37</v>
      </c>
      <c r="E30" s="12">
        <v>51</v>
      </c>
      <c r="F30" s="8">
        <v>2.02</v>
      </c>
      <c r="G30" s="12">
        <v>150</v>
      </c>
      <c r="H30" s="8">
        <v>7.37</v>
      </c>
      <c r="I30" s="12">
        <v>0</v>
      </c>
    </row>
    <row r="31" spans="2:9" ht="15" customHeight="1" x14ac:dyDescent="0.2">
      <c r="B31" t="s">
        <v>81</v>
      </c>
      <c r="C31" s="12">
        <v>163</v>
      </c>
      <c r="D31" s="8">
        <v>3.54</v>
      </c>
      <c r="E31" s="12">
        <v>117</v>
      </c>
      <c r="F31" s="8">
        <v>4.62</v>
      </c>
      <c r="G31" s="12">
        <v>46</v>
      </c>
      <c r="H31" s="8">
        <v>2.2599999999999998</v>
      </c>
      <c r="I31" s="12">
        <v>0</v>
      </c>
    </row>
    <row r="32" spans="2:9" ht="15" customHeight="1" x14ac:dyDescent="0.2">
      <c r="B32" t="s">
        <v>92</v>
      </c>
      <c r="C32" s="12">
        <v>163</v>
      </c>
      <c r="D32" s="8">
        <v>3.54</v>
      </c>
      <c r="E32" s="12">
        <v>145</v>
      </c>
      <c r="F32" s="8">
        <v>5.73</v>
      </c>
      <c r="G32" s="12">
        <v>18</v>
      </c>
      <c r="H32" s="8">
        <v>0.88</v>
      </c>
      <c r="I32" s="12">
        <v>0</v>
      </c>
    </row>
    <row r="33" spans="2:9" ht="15" customHeight="1" x14ac:dyDescent="0.2">
      <c r="B33" t="s">
        <v>75</v>
      </c>
      <c r="C33" s="12">
        <v>162</v>
      </c>
      <c r="D33" s="8">
        <v>3.52</v>
      </c>
      <c r="E33" s="12">
        <v>61</v>
      </c>
      <c r="F33" s="8">
        <v>2.41</v>
      </c>
      <c r="G33" s="12">
        <v>101</v>
      </c>
      <c r="H33" s="8">
        <v>4.97</v>
      </c>
      <c r="I33" s="12">
        <v>0</v>
      </c>
    </row>
    <row r="34" spans="2:9" ht="15" customHeight="1" x14ac:dyDescent="0.2">
      <c r="B34" t="s">
        <v>82</v>
      </c>
      <c r="C34" s="12">
        <v>150</v>
      </c>
      <c r="D34" s="8">
        <v>3.26</v>
      </c>
      <c r="E34" s="12">
        <v>105</v>
      </c>
      <c r="F34" s="8">
        <v>4.1500000000000004</v>
      </c>
      <c r="G34" s="12">
        <v>45</v>
      </c>
      <c r="H34" s="8">
        <v>2.21</v>
      </c>
      <c r="I34" s="12">
        <v>0</v>
      </c>
    </row>
    <row r="35" spans="2:9" ht="15" customHeight="1" x14ac:dyDescent="0.2">
      <c r="B35" t="s">
        <v>86</v>
      </c>
      <c r="C35" s="12">
        <v>131</v>
      </c>
      <c r="D35" s="8">
        <v>2.85</v>
      </c>
      <c r="E35" s="12">
        <v>100</v>
      </c>
      <c r="F35" s="8">
        <v>3.95</v>
      </c>
      <c r="G35" s="12">
        <v>31</v>
      </c>
      <c r="H35" s="8">
        <v>1.52</v>
      </c>
      <c r="I35" s="12">
        <v>0</v>
      </c>
    </row>
    <row r="36" spans="2:9" ht="15" customHeight="1" x14ac:dyDescent="0.2">
      <c r="B36" t="s">
        <v>84</v>
      </c>
      <c r="C36" s="12">
        <v>102</v>
      </c>
      <c r="D36" s="8">
        <v>2.2200000000000002</v>
      </c>
      <c r="E36" s="12">
        <v>20</v>
      </c>
      <c r="F36" s="8">
        <v>0.79</v>
      </c>
      <c r="G36" s="12">
        <v>82</v>
      </c>
      <c r="H36" s="8">
        <v>4.03</v>
      </c>
      <c r="I36" s="12">
        <v>0</v>
      </c>
    </row>
    <row r="37" spans="2:9" ht="15" customHeight="1" x14ac:dyDescent="0.2">
      <c r="B37" t="s">
        <v>80</v>
      </c>
      <c r="C37" s="12">
        <v>101</v>
      </c>
      <c r="D37" s="8">
        <v>2.19</v>
      </c>
      <c r="E37" s="12">
        <v>55</v>
      </c>
      <c r="F37" s="8">
        <v>2.17</v>
      </c>
      <c r="G37" s="12">
        <v>46</v>
      </c>
      <c r="H37" s="8">
        <v>2.2599999999999998</v>
      </c>
      <c r="I37" s="12">
        <v>0</v>
      </c>
    </row>
    <row r="38" spans="2:9" ht="15" customHeight="1" x14ac:dyDescent="0.2">
      <c r="B38" t="s">
        <v>90</v>
      </c>
      <c r="C38" s="12">
        <v>76</v>
      </c>
      <c r="D38" s="8">
        <v>1.65</v>
      </c>
      <c r="E38" s="12">
        <v>41</v>
      </c>
      <c r="F38" s="8">
        <v>1.62</v>
      </c>
      <c r="G38" s="12">
        <v>34</v>
      </c>
      <c r="H38" s="8">
        <v>1.67</v>
      </c>
      <c r="I38" s="12">
        <v>1</v>
      </c>
    </row>
    <row r="39" spans="2:9" ht="15" customHeight="1" x14ac:dyDescent="0.2">
      <c r="B39" t="s">
        <v>87</v>
      </c>
      <c r="C39" s="12">
        <v>75</v>
      </c>
      <c r="D39" s="8">
        <v>1.63</v>
      </c>
      <c r="E39" s="12">
        <v>30</v>
      </c>
      <c r="F39" s="8">
        <v>1.19</v>
      </c>
      <c r="G39" s="12">
        <v>45</v>
      </c>
      <c r="H39" s="8">
        <v>2.21</v>
      </c>
      <c r="I39" s="12">
        <v>0</v>
      </c>
    </row>
    <row r="40" spans="2:9" ht="15" customHeight="1" x14ac:dyDescent="0.2">
      <c r="B40" t="s">
        <v>93</v>
      </c>
      <c r="C40" s="12">
        <v>65</v>
      </c>
      <c r="D40" s="8">
        <v>1.41</v>
      </c>
      <c r="E40" s="12">
        <v>0</v>
      </c>
      <c r="F40" s="8">
        <v>0</v>
      </c>
      <c r="G40" s="12">
        <v>54</v>
      </c>
      <c r="H40" s="8">
        <v>2.65</v>
      </c>
      <c r="I40" s="12">
        <v>0</v>
      </c>
    </row>
    <row r="41" spans="2:9" ht="15" customHeight="1" x14ac:dyDescent="0.2">
      <c r="B41" t="s">
        <v>77</v>
      </c>
      <c r="C41" s="12">
        <v>63</v>
      </c>
      <c r="D41" s="8">
        <v>1.37</v>
      </c>
      <c r="E41" s="12">
        <v>27</v>
      </c>
      <c r="F41" s="8">
        <v>1.07</v>
      </c>
      <c r="G41" s="12">
        <v>36</v>
      </c>
      <c r="H41" s="8">
        <v>1.77</v>
      </c>
      <c r="I41" s="12">
        <v>0</v>
      </c>
    </row>
    <row r="42" spans="2:9" ht="15" customHeight="1" x14ac:dyDescent="0.2">
      <c r="B42" t="s">
        <v>97</v>
      </c>
      <c r="C42" s="12">
        <v>61</v>
      </c>
      <c r="D42" s="8">
        <v>1.32</v>
      </c>
      <c r="E42" s="12">
        <v>10</v>
      </c>
      <c r="F42" s="8">
        <v>0.4</v>
      </c>
      <c r="G42" s="12">
        <v>51</v>
      </c>
      <c r="H42" s="8">
        <v>2.5099999999999998</v>
      </c>
      <c r="I42" s="12">
        <v>0</v>
      </c>
    </row>
    <row r="43" spans="2:9" ht="15" customHeight="1" x14ac:dyDescent="0.2">
      <c r="B43" t="s">
        <v>78</v>
      </c>
      <c r="C43" s="12">
        <v>60</v>
      </c>
      <c r="D43" s="8">
        <v>1.3</v>
      </c>
      <c r="E43" s="12">
        <v>10</v>
      </c>
      <c r="F43" s="8">
        <v>0.4</v>
      </c>
      <c r="G43" s="12">
        <v>50</v>
      </c>
      <c r="H43" s="8">
        <v>2.46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296</v>
      </c>
      <c r="D47" s="8">
        <v>6.43</v>
      </c>
      <c r="E47" s="12">
        <v>273</v>
      </c>
      <c r="F47" s="8">
        <v>10.79</v>
      </c>
      <c r="G47" s="12">
        <v>23</v>
      </c>
      <c r="H47" s="8">
        <v>1.1299999999999999</v>
      </c>
      <c r="I47" s="12">
        <v>0</v>
      </c>
    </row>
    <row r="48" spans="2:9" ht="15" customHeight="1" x14ac:dyDescent="0.2">
      <c r="B48" t="s">
        <v>132</v>
      </c>
      <c r="C48" s="12">
        <v>180</v>
      </c>
      <c r="D48" s="8">
        <v>3.91</v>
      </c>
      <c r="E48" s="12">
        <v>103</v>
      </c>
      <c r="F48" s="8">
        <v>4.07</v>
      </c>
      <c r="G48" s="12">
        <v>77</v>
      </c>
      <c r="H48" s="8">
        <v>3.79</v>
      </c>
      <c r="I48" s="12">
        <v>0</v>
      </c>
    </row>
    <row r="49" spans="2:9" ht="15" customHeight="1" x14ac:dyDescent="0.2">
      <c r="B49" t="s">
        <v>136</v>
      </c>
      <c r="C49" s="12">
        <v>154</v>
      </c>
      <c r="D49" s="8">
        <v>3.34</v>
      </c>
      <c r="E49" s="12">
        <v>147</v>
      </c>
      <c r="F49" s="8">
        <v>5.81</v>
      </c>
      <c r="G49" s="12">
        <v>7</v>
      </c>
      <c r="H49" s="8">
        <v>0.34</v>
      </c>
      <c r="I49" s="12">
        <v>0</v>
      </c>
    </row>
    <row r="50" spans="2:9" ht="15" customHeight="1" x14ac:dyDescent="0.2">
      <c r="B50" t="s">
        <v>140</v>
      </c>
      <c r="C50" s="12">
        <v>142</v>
      </c>
      <c r="D50" s="8">
        <v>3.08</v>
      </c>
      <c r="E50" s="12">
        <v>120</v>
      </c>
      <c r="F50" s="8">
        <v>4.74</v>
      </c>
      <c r="G50" s="12">
        <v>22</v>
      </c>
      <c r="H50" s="8">
        <v>1.08</v>
      </c>
      <c r="I50" s="12">
        <v>0</v>
      </c>
    </row>
    <row r="51" spans="2:9" ht="15" customHeight="1" x14ac:dyDescent="0.2">
      <c r="B51" t="s">
        <v>137</v>
      </c>
      <c r="C51" s="12">
        <v>130</v>
      </c>
      <c r="D51" s="8">
        <v>2.82</v>
      </c>
      <c r="E51" s="12">
        <v>125</v>
      </c>
      <c r="F51" s="8">
        <v>4.9400000000000004</v>
      </c>
      <c r="G51" s="12">
        <v>5</v>
      </c>
      <c r="H51" s="8">
        <v>0.25</v>
      </c>
      <c r="I51" s="12">
        <v>0</v>
      </c>
    </row>
    <row r="52" spans="2:9" ht="15" customHeight="1" x14ac:dyDescent="0.2">
      <c r="B52" t="s">
        <v>141</v>
      </c>
      <c r="C52" s="12">
        <v>121</v>
      </c>
      <c r="D52" s="8">
        <v>2.63</v>
      </c>
      <c r="E52" s="12">
        <v>111</v>
      </c>
      <c r="F52" s="8">
        <v>4.3899999999999997</v>
      </c>
      <c r="G52" s="12">
        <v>10</v>
      </c>
      <c r="H52" s="8">
        <v>0.49</v>
      </c>
      <c r="I52" s="12">
        <v>0</v>
      </c>
    </row>
    <row r="53" spans="2:9" ht="15" customHeight="1" x14ac:dyDescent="0.2">
      <c r="B53" t="s">
        <v>134</v>
      </c>
      <c r="C53" s="12">
        <v>109</v>
      </c>
      <c r="D53" s="8">
        <v>2.37</v>
      </c>
      <c r="E53" s="12">
        <v>101</v>
      </c>
      <c r="F53" s="8">
        <v>3.99</v>
      </c>
      <c r="G53" s="12">
        <v>8</v>
      </c>
      <c r="H53" s="8">
        <v>0.39</v>
      </c>
      <c r="I53" s="12">
        <v>0</v>
      </c>
    </row>
    <row r="54" spans="2:9" ht="15" customHeight="1" x14ac:dyDescent="0.2">
      <c r="B54" t="s">
        <v>122</v>
      </c>
      <c r="C54" s="12">
        <v>104</v>
      </c>
      <c r="D54" s="8">
        <v>2.2599999999999998</v>
      </c>
      <c r="E54" s="12">
        <v>17</v>
      </c>
      <c r="F54" s="8">
        <v>0.67</v>
      </c>
      <c r="G54" s="12">
        <v>87</v>
      </c>
      <c r="H54" s="8">
        <v>4.28</v>
      </c>
      <c r="I54" s="12">
        <v>0</v>
      </c>
    </row>
    <row r="55" spans="2:9" ht="15" customHeight="1" x14ac:dyDescent="0.2">
      <c r="B55" t="s">
        <v>133</v>
      </c>
      <c r="C55" s="12">
        <v>93</v>
      </c>
      <c r="D55" s="8">
        <v>2.02</v>
      </c>
      <c r="E55" s="12">
        <v>81</v>
      </c>
      <c r="F55" s="8">
        <v>3.2</v>
      </c>
      <c r="G55" s="12">
        <v>12</v>
      </c>
      <c r="H55" s="8">
        <v>0.59</v>
      </c>
      <c r="I55" s="12">
        <v>0</v>
      </c>
    </row>
    <row r="56" spans="2:9" ht="15" customHeight="1" x14ac:dyDescent="0.2">
      <c r="B56" t="s">
        <v>127</v>
      </c>
      <c r="C56" s="12">
        <v>91</v>
      </c>
      <c r="D56" s="8">
        <v>1.98</v>
      </c>
      <c r="E56" s="12">
        <v>65</v>
      </c>
      <c r="F56" s="8">
        <v>2.57</v>
      </c>
      <c r="G56" s="12">
        <v>26</v>
      </c>
      <c r="H56" s="8">
        <v>1.28</v>
      </c>
      <c r="I56" s="12">
        <v>0</v>
      </c>
    </row>
    <row r="57" spans="2:9" ht="15" customHeight="1" x14ac:dyDescent="0.2">
      <c r="B57" t="s">
        <v>159</v>
      </c>
      <c r="C57" s="12">
        <v>89</v>
      </c>
      <c r="D57" s="8">
        <v>1.93</v>
      </c>
      <c r="E57" s="12">
        <v>30</v>
      </c>
      <c r="F57" s="8">
        <v>1.19</v>
      </c>
      <c r="G57" s="12">
        <v>59</v>
      </c>
      <c r="H57" s="8">
        <v>2.9</v>
      </c>
      <c r="I57" s="12">
        <v>0</v>
      </c>
    </row>
    <row r="58" spans="2:9" ht="15" customHeight="1" x14ac:dyDescent="0.2">
      <c r="B58" t="s">
        <v>135</v>
      </c>
      <c r="C58" s="12">
        <v>86</v>
      </c>
      <c r="D58" s="8">
        <v>1.87</v>
      </c>
      <c r="E58" s="12">
        <v>84</v>
      </c>
      <c r="F58" s="8">
        <v>3.32</v>
      </c>
      <c r="G58" s="12">
        <v>2</v>
      </c>
      <c r="H58" s="8">
        <v>0.1</v>
      </c>
      <c r="I58" s="12">
        <v>0</v>
      </c>
    </row>
    <row r="59" spans="2:9" ht="15" customHeight="1" x14ac:dyDescent="0.2">
      <c r="B59" t="s">
        <v>139</v>
      </c>
      <c r="C59" s="12">
        <v>81</v>
      </c>
      <c r="D59" s="8">
        <v>1.76</v>
      </c>
      <c r="E59" s="12">
        <v>62</v>
      </c>
      <c r="F59" s="8">
        <v>2.4500000000000002</v>
      </c>
      <c r="G59" s="12">
        <v>19</v>
      </c>
      <c r="H59" s="8">
        <v>0.93</v>
      </c>
      <c r="I59" s="12">
        <v>0</v>
      </c>
    </row>
    <row r="60" spans="2:9" ht="15" customHeight="1" x14ac:dyDescent="0.2">
      <c r="B60" t="s">
        <v>124</v>
      </c>
      <c r="C60" s="12">
        <v>78</v>
      </c>
      <c r="D60" s="8">
        <v>1.69</v>
      </c>
      <c r="E60" s="12">
        <v>19</v>
      </c>
      <c r="F60" s="8">
        <v>0.75</v>
      </c>
      <c r="G60" s="12">
        <v>59</v>
      </c>
      <c r="H60" s="8">
        <v>2.9</v>
      </c>
      <c r="I60" s="12">
        <v>0</v>
      </c>
    </row>
    <row r="61" spans="2:9" ht="15" customHeight="1" x14ac:dyDescent="0.2">
      <c r="B61" t="s">
        <v>129</v>
      </c>
      <c r="C61" s="12">
        <v>78</v>
      </c>
      <c r="D61" s="8">
        <v>1.69</v>
      </c>
      <c r="E61" s="12">
        <v>46</v>
      </c>
      <c r="F61" s="8">
        <v>1.82</v>
      </c>
      <c r="G61" s="12">
        <v>32</v>
      </c>
      <c r="H61" s="8">
        <v>1.57</v>
      </c>
      <c r="I61" s="12">
        <v>0</v>
      </c>
    </row>
    <row r="62" spans="2:9" ht="15" customHeight="1" x14ac:dyDescent="0.2">
      <c r="B62" t="s">
        <v>130</v>
      </c>
      <c r="C62" s="12">
        <v>78</v>
      </c>
      <c r="D62" s="8">
        <v>1.69</v>
      </c>
      <c r="E62" s="12">
        <v>18</v>
      </c>
      <c r="F62" s="8">
        <v>0.71</v>
      </c>
      <c r="G62" s="12">
        <v>60</v>
      </c>
      <c r="H62" s="8">
        <v>2.95</v>
      </c>
      <c r="I62" s="12">
        <v>0</v>
      </c>
    </row>
    <row r="63" spans="2:9" ht="15" customHeight="1" x14ac:dyDescent="0.2">
      <c r="B63" t="s">
        <v>142</v>
      </c>
      <c r="C63" s="12">
        <v>74</v>
      </c>
      <c r="D63" s="8">
        <v>1.61</v>
      </c>
      <c r="E63" s="12">
        <v>65</v>
      </c>
      <c r="F63" s="8">
        <v>2.57</v>
      </c>
      <c r="G63" s="12">
        <v>9</v>
      </c>
      <c r="H63" s="8">
        <v>0.44</v>
      </c>
      <c r="I63" s="12">
        <v>0</v>
      </c>
    </row>
    <row r="64" spans="2:9" ht="15" customHeight="1" x14ac:dyDescent="0.2">
      <c r="B64" t="s">
        <v>131</v>
      </c>
      <c r="C64" s="12">
        <v>65</v>
      </c>
      <c r="D64" s="8">
        <v>1.41</v>
      </c>
      <c r="E64" s="12">
        <v>15</v>
      </c>
      <c r="F64" s="8">
        <v>0.59</v>
      </c>
      <c r="G64" s="12">
        <v>50</v>
      </c>
      <c r="H64" s="8">
        <v>2.46</v>
      </c>
      <c r="I64" s="12">
        <v>0</v>
      </c>
    </row>
    <row r="65" spans="2:9" ht="15" customHeight="1" x14ac:dyDescent="0.2">
      <c r="B65" t="s">
        <v>123</v>
      </c>
      <c r="C65" s="12">
        <v>64</v>
      </c>
      <c r="D65" s="8">
        <v>1.39</v>
      </c>
      <c r="E65" s="12">
        <v>19</v>
      </c>
      <c r="F65" s="8">
        <v>0.75</v>
      </c>
      <c r="G65" s="12">
        <v>45</v>
      </c>
      <c r="H65" s="8">
        <v>2.21</v>
      </c>
      <c r="I65" s="12">
        <v>0</v>
      </c>
    </row>
    <row r="66" spans="2:9" ht="15" customHeight="1" x14ac:dyDescent="0.2">
      <c r="B66" t="s">
        <v>169</v>
      </c>
      <c r="C66" s="12">
        <v>62</v>
      </c>
      <c r="D66" s="8">
        <v>1.35</v>
      </c>
      <c r="E66" s="12">
        <v>17</v>
      </c>
      <c r="F66" s="8">
        <v>0.67</v>
      </c>
      <c r="G66" s="12">
        <v>45</v>
      </c>
      <c r="H66" s="8">
        <v>2.21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04587-8FCE-407E-8F1A-353AA2F070C7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239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140</v>
      </c>
      <c r="D6" s="8">
        <v>14.16</v>
      </c>
      <c r="E6" s="12">
        <v>43</v>
      </c>
      <c r="F6" s="8">
        <v>7.54</v>
      </c>
      <c r="G6" s="12">
        <v>97</v>
      </c>
      <c r="H6" s="8">
        <v>24.25</v>
      </c>
      <c r="I6" s="12">
        <v>0</v>
      </c>
    </row>
    <row r="7" spans="2:9" ht="15" customHeight="1" x14ac:dyDescent="0.2">
      <c r="B7" t="s">
        <v>53</v>
      </c>
      <c r="C7" s="12">
        <v>56</v>
      </c>
      <c r="D7" s="8">
        <v>5.66</v>
      </c>
      <c r="E7" s="12">
        <v>18</v>
      </c>
      <c r="F7" s="8">
        <v>3.16</v>
      </c>
      <c r="G7" s="12">
        <v>38</v>
      </c>
      <c r="H7" s="8">
        <v>9.5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0.1</v>
      </c>
      <c r="E9" s="12">
        <v>0</v>
      </c>
      <c r="F9" s="8">
        <v>0</v>
      </c>
      <c r="G9" s="12">
        <v>1</v>
      </c>
      <c r="H9" s="8">
        <v>0.25</v>
      </c>
      <c r="I9" s="12">
        <v>0</v>
      </c>
    </row>
    <row r="10" spans="2:9" ht="15" customHeight="1" x14ac:dyDescent="0.2">
      <c r="B10" t="s">
        <v>56</v>
      </c>
      <c r="C10" s="12">
        <v>12</v>
      </c>
      <c r="D10" s="8">
        <v>1.21</v>
      </c>
      <c r="E10" s="12">
        <v>3</v>
      </c>
      <c r="F10" s="8">
        <v>0.53</v>
      </c>
      <c r="G10" s="12">
        <v>9</v>
      </c>
      <c r="H10" s="8">
        <v>2.25</v>
      </c>
      <c r="I10" s="12">
        <v>0</v>
      </c>
    </row>
    <row r="11" spans="2:9" ht="15" customHeight="1" x14ac:dyDescent="0.2">
      <c r="B11" t="s">
        <v>57</v>
      </c>
      <c r="C11" s="12">
        <v>255</v>
      </c>
      <c r="D11" s="8">
        <v>25.78</v>
      </c>
      <c r="E11" s="12">
        <v>142</v>
      </c>
      <c r="F11" s="8">
        <v>24.91</v>
      </c>
      <c r="G11" s="12">
        <v>113</v>
      </c>
      <c r="H11" s="8">
        <v>28.25</v>
      </c>
      <c r="I11" s="12">
        <v>0</v>
      </c>
    </row>
    <row r="12" spans="2:9" ht="15" customHeight="1" x14ac:dyDescent="0.2">
      <c r="B12" t="s">
        <v>58</v>
      </c>
      <c r="C12" s="12">
        <v>12</v>
      </c>
      <c r="D12" s="8">
        <v>1.21</v>
      </c>
      <c r="E12" s="12">
        <v>2</v>
      </c>
      <c r="F12" s="8">
        <v>0.35</v>
      </c>
      <c r="G12" s="12">
        <v>9</v>
      </c>
      <c r="H12" s="8">
        <v>2.25</v>
      </c>
      <c r="I12" s="12">
        <v>1</v>
      </c>
    </row>
    <row r="13" spans="2:9" ht="15" customHeight="1" x14ac:dyDescent="0.2">
      <c r="B13" t="s">
        <v>59</v>
      </c>
      <c r="C13" s="12">
        <v>71</v>
      </c>
      <c r="D13" s="8">
        <v>7.18</v>
      </c>
      <c r="E13" s="12">
        <v>35</v>
      </c>
      <c r="F13" s="8">
        <v>6.14</v>
      </c>
      <c r="G13" s="12">
        <v>35</v>
      </c>
      <c r="H13" s="8">
        <v>8.75</v>
      </c>
      <c r="I13" s="12">
        <v>0</v>
      </c>
    </row>
    <row r="14" spans="2:9" ht="15" customHeight="1" x14ac:dyDescent="0.2">
      <c r="B14" t="s">
        <v>60</v>
      </c>
      <c r="C14" s="12">
        <v>36</v>
      </c>
      <c r="D14" s="8">
        <v>3.64</v>
      </c>
      <c r="E14" s="12">
        <v>27</v>
      </c>
      <c r="F14" s="8">
        <v>4.74</v>
      </c>
      <c r="G14" s="12">
        <v>8</v>
      </c>
      <c r="H14" s="8">
        <v>2</v>
      </c>
      <c r="I14" s="12">
        <v>0</v>
      </c>
    </row>
    <row r="15" spans="2:9" ht="15" customHeight="1" x14ac:dyDescent="0.2">
      <c r="B15" t="s">
        <v>61</v>
      </c>
      <c r="C15" s="12">
        <v>145</v>
      </c>
      <c r="D15" s="8">
        <v>14.66</v>
      </c>
      <c r="E15" s="12">
        <v>125</v>
      </c>
      <c r="F15" s="8">
        <v>21.93</v>
      </c>
      <c r="G15" s="12">
        <v>20</v>
      </c>
      <c r="H15" s="8">
        <v>5</v>
      </c>
      <c r="I15" s="12">
        <v>0</v>
      </c>
    </row>
    <row r="16" spans="2:9" ht="15" customHeight="1" x14ac:dyDescent="0.2">
      <c r="B16" t="s">
        <v>62</v>
      </c>
      <c r="C16" s="12">
        <v>123</v>
      </c>
      <c r="D16" s="8">
        <v>12.44</v>
      </c>
      <c r="E16" s="12">
        <v>107</v>
      </c>
      <c r="F16" s="8">
        <v>18.77</v>
      </c>
      <c r="G16" s="12">
        <v>16</v>
      </c>
      <c r="H16" s="8">
        <v>4</v>
      </c>
      <c r="I16" s="12">
        <v>0</v>
      </c>
    </row>
    <row r="17" spans="2:9" ht="15" customHeight="1" x14ac:dyDescent="0.2">
      <c r="B17" t="s">
        <v>63</v>
      </c>
      <c r="C17" s="12">
        <v>56</v>
      </c>
      <c r="D17" s="8">
        <v>5.66</v>
      </c>
      <c r="E17" s="12">
        <v>34</v>
      </c>
      <c r="F17" s="8">
        <v>5.96</v>
      </c>
      <c r="G17" s="12">
        <v>13</v>
      </c>
      <c r="H17" s="8">
        <v>3.25</v>
      </c>
      <c r="I17" s="12">
        <v>0</v>
      </c>
    </row>
    <row r="18" spans="2:9" ht="15" customHeight="1" x14ac:dyDescent="0.2">
      <c r="B18" t="s">
        <v>64</v>
      </c>
      <c r="C18" s="12">
        <v>57</v>
      </c>
      <c r="D18" s="8">
        <v>5.76</v>
      </c>
      <c r="E18" s="12">
        <v>26</v>
      </c>
      <c r="F18" s="8">
        <v>4.5599999999999996</v>
      </c>
      <c r="G18" s="12">
        <v>25</v>
      </c>
      <c r="H18" s="8">
        <v>6.25</v>
      </c>
      <c r="I18" s="12">
        <v>0</v>
      </c>
    </row>
    <row r="19" spans="2:9" ht="15" customHeight="1" x14ac:dyDescent="0.2">
      <c r="B19" t="s">
        <v>65</v>
      </c>
      <c r="C19" s="12">
        <v>25</v>
      </c>
      <c r="D19" s="8">
        <v>2.5299999999999998</v>
      </c>
      <c r="E19" s="12">
        <v>8</v>
      </c>
      <c r="F19" s="8">
        <v>1.4</v>
      </c>
      <c r="G19" s="12">
        <v>16</v>
      </c>
      <c r="H19" s="8">
        <v>4</v>
      </c>
      <c r="I19" s="12">
        <v>0</v>
      </c>
    </row>
    <row r="20" spans="2:9" ht="15" customHeight="1" x14ac:dyDescent="0.2">
      <c r="B20" s="9" t="s">
        <v>215</v>
      </c>
      <c r="C20" s="12">
        <f>SUM(LTBL_28212[総数／事業所数])</f>
        <v>989</v>
      </c>
      <c r="E20" s="12">
        <f>SUBTOTAL(109,LTBL_28212[個人／事業所数])</f>
        <v>570</v>
      </c>
      <c r="G20" s="12">
        <f>SUBTOTAL(109,LTBL_28212[法人／事業所数])</f>
        <v>400</v>
      </c>
      <c r="I20" s="12">
        <f>SUBTOTAL(109,LTBL_28212[法人以外の団体／事業所数])</f>
        <v>1</v>
      </c>
    </row>
    <row r="21" spans="2:9" ht="15" customHeight="1" x14ac:dyDescent="0.2">
      <c r="E21" s="11">
        <f>LTBL_28212[[#Totals],[個人／事業所数]]/LTBL_28212[[#Totals],[総数／事業所数]]</f>
        <v>0.57633973710819009</v>
      </c>
      <c r="G21" s="11">
        <f>LTBL_28212[[#Totals],[法人／事業所数]]/LTBL_28212[[#Totals],[総数／事業所数]]</f>
        <v>0.40444893832153689</v>
      </c>
      <c r="I21" s="11">
        <f>LTBL_28212[[#Totals],[法人以外の団体／事業所数]]/LTBL_28212[[#Totals],[総数／事業所数]]</f>
        <v>1.0111223458038423E-3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131</v>
      </c>
      <c r="D24" s="8">
        <v>13.25</v>
      </c>
      <c r="E24" s="12">
        <v>117</v>
      </c>
      <c r="F24" s="8">
        <v>20.53</v>
      </c>
      <c r="G24" s="12">
        <v>14</v>
      </c>
      <c r="H24" s="8">
        <v>3.5</v>
      </c>
      <c r="I24" s="12">
        <v>0</v>
      </c>
    </row>
    <row r="25" spans="2:9" ht="15" customHeight="1" x14ac:dyDescent="0.2">
      <c r="B25" t="s">
        <v>89</v>
      </c>
      <c r="C25" s="12">
        <v>110</v>
      </c>
      <c r="D25" s="8">
        <v>11.12</v>
      </c>
      <c r="E25" s="12">
        <v>97</v>
      </c>
      <c r="F25" s="8">
        <v>17.02</v>
      </c>
      <c r="G25" s="12">
        <v>13</v>
      </c>
      <c r="H25" s="8">
        <v>3.25</v>
      </c>
      <c r="I25" s="12">
        <v>0</v>
      </c>
    </row>
    <row r="26" spans="2:9" ht="15" customHeight="1" x14ac:dyDescent="0.2">
      <c r="B26" t="s">
        <v>83</v>
      </c>
      <c r="C26" s="12">
        <v>92</v>
      </c>
      <c r="D26" s="8">
        <v>9.3000000000000007</v>
      </c>
      <c r="E26" s="12">
        <v>50</v>
      </c>
      <c r="F26" s="8">
        <v>8.77</v>
      </c>
      <c r="G26" s="12">
        <v>42</v>
      </c>
      <c r="H26" s="8">
        <v>10.5</v>
      </c>
      <c r="I26" s="12">
        <v>0</v>
      </c>
    </row>
    <row r="27" spans="2:9" ht="15" customHeight="1" x14ac:dyDescent="0.2">
      <c r="B27" t="s">
        <v>74</v>
      </c>
      <c r="C27" s="12">
        <v>61</v>
      </c>
      <c r="D27" s="8">
        <v>6.17</v>
      </c>
      <c r="E27" s="12">
        <v>18</v>
      </c>
      <c r="F27" s="8">
        <v>3.16</v>
      </c>
      <c r="G27" s="12">
        <v>43</v>
      </c>
      <c r="H27" s="8">
        <v>10.75</v>
      </c>
      <c r="I27" s="12">
        <v>0</v>
      </c>
    </row>
    <row r="28" spans="2:9" ht="15" customHeight="1" x14ac:dyDescent="0.2">
      <c r="B28" t="s">
        <v>85</v>
      </c>
      <c r="C28" s="12">
        <v>58</v>
      </c>
      <c r="D28" s="8">
        <v>5.86</v>
      </c>
      <c r="E28" s="12">
        <v>30</v>
      </c>
      <c r="F28" s="8">
        <v>5.26</v>
      </c>
      <c r="G28" s="12">
        <v>27</v>
      </c>
      <c r="H28" s="8">
        <v>6.75</v>
      </c>
      <c r="I28" s="12">
        <v>0</v>
      </c>
    </row>
    <row r="29" spans="2:9" ht="15" customHeight="1" x14ac:dyDescent="0.2">
      <c r="B29" t="s">
        <v>91</v>
      </c>
      <c r="C29" s="12">
        <v>56</v>
      </c>
      <c r="D29" s="8">
        <v>5.66</v>
      </c>
      <c r="E29" s="12">
        <v>34</v>
      </c>
      <c r="F29" s="8">
        <v>5.96</v>
      </c>
      <c r="G29" s="12">
        <v>13</v>
      </c>
      <c r="H29" s="8">
        <v>3.25</v>
      </c>
      <c r="I29" s="12">
        <v>0</v>
      </c>
    </row>
    <row r="30" spans="2:9" ht="15" customHeight="1" x14ac:dyDescent="0.2">
      <c r="B30" t="s">
        <v>81</v>
      </c>
      <c r="C30" s="12">
        <v>48</v>
      </c>
      <c r="D30" s="8">
        <v>4.8499999999999996</v>
      </c>
      <c r="E30" s="12">
        <v>39</v>
      </c>
      <c r="F30" s="8">
        <v>6.84</v>
      </c>
      <c r="G30" s="12">
        <v>9</v>
      </c>
      <c r="H30" s="8">
        <v>2.25</v>
      </c>
      <c r="I30" s="12">
        <v>0</v>
      </c>
    </row>
    <row r="31" spans="2:9" ht="15" customHeight="1" x14ac:dyDescent="0.2">
      <c r="B31" t="s">
        <v>82</v>
      </c>
      <c r="C31" s="12">
        <v>42</v>
      </c>
      <c r="D31" s="8">
        <v>4.25</v>
      </c>
      <c r="E31" s="12">
        <v>25</v>
      </c>
      <c r="F31" s="8">
        <v>4.3899999999999997</v>
      </c>
      <c r="G31" s="12">
        <v>17</v>
      </c>
      <c r="H31" s="8">
        <v>4.25</v>
      </c>
      <c r="I31" s="12">
        <v>0</v>
      </c>
    </row>
    <row r="32" spans="2:9" ht="15" customHeight="1" x14ac:dyDescent="0.2">
      <c r="B32" t="s">
        <v>75</v>
      </c>
      <c r="C32" s="12">
        <v>41</v>
      </c>
      <c r="D32" s="8">
        <v>4.1500000000000004</v>
      </c>
      <c r="E32" s="12">
        <v>16</v>
      </c>
      <c r="F32" s="8">
        <v>2.81</v>
      </c>
      <c r="G32" s="12">
        <v>25</v>
      </c>
      <c r="H32" s="8">
        <v>6.25</v>
      </c>
      <c r="I32" s="12">
        <v>0</v>
      </c>
    </row>
    <row r="33" spans="2:9" ht="15" customHeight="1" x14ac:dyDescent="0.2">
      <c r="B33" t="s">
        <v>76</v>
      </c>
      <c r="C33" s="12">
        <v>38</v>
      </c>
      <c r="D33" s="8">
        <v>3.84</v>
      </c>
      <c r="E33" s="12">
        <v>9</v>
      </c>
      <c r="F33" s="8">
        <v>1.58</v>
      </c>
      <c r="G33" s="12">
        <v>29</v>
      </c>
      <c r="H33" s="8">
        <v>7.25</v>
      </c>
      <c r="I33" s="12">
        <v>0</v>
      </c>
    </row>
    <row r="34" spans="2:9" ht="15" customHeight="1" x14ac:dyDescent="0.2">
      <c r="B34" t="s">
        <v>80</v>
      </c>
      <c r="C34" s="12">
        <v>35</v>
      </c>
      <c r="D34" s="8">
        <v>3.54</v>
      </c>
      <c r="E34" s="12">
        <v>16</v>
      </c>
      <c r="F34" s="8">
        <v>2.81</v>
      </c>
      <c r="G34" s="12">
        <v>19</v>
      </c>
      <c r="H34" s="8">
        <v>4.75</v>
      </c>
      <c r="I34" s="12">
        <v>0</v>
      </c>
    </row>
    <row r="35" spans="2:9" ht="15" customHeight="1" x14ac:dyDescent="0.2">
      <c r="B35" t="s">
        <v>92</v>
      </c>
      <c r="C35" s="12">
        <v>30</v>
      </c>
      <c r="D35" s="8">
        <v>3.03</v>
      </c>
      <c r="E35" s="12">
        <v>25</v>
      </c>
      <c r="F35" s="8">
        <v>4.3899999999999997</v>
      </c>
      <c r="G35" s="12">
        <v>5</v>
      </c>
      <c r="H35" s="8">
        <v>1.25</v>
      </c>
      <c r="I35" s="12">
        <v>0</v>
      </c>
    </row>
    <row r="36" spans="2:9" ht="15" customHeight="1" x14ac:dyDescent="0.2">
      <c r="B36" t="s">
        <v>93</v>
      </c>
      <c r="C36" s="12">
        <v>27</v>
      </c>
      <c r="D36" s="8">
        <v>2.73</v>
      </c>
      <c r="E36" s="12">
        <v>1</v>
      </c>
      <c r="F36" s="8">
        <v>0.18</v>
      </c>
      <c r="G36" s="12">
        <v>20</v>
      </c>
      <c r="H36" s="8">
        <v>5</v>
      </c>
      <c r="I36" s="12">
        <v>0</v>
      </c>
    </row>
    <row r="37" spans="2:9" ht="15" customHeight="1" x14ac:dyDescent="0.2">
      <c r="B37" t="s">
        <v>87</v>
      </c>
      <c r="C37" s="12">
        <v>20</v>
      </c>
      <c r="D37" s="8">
        <v>2.02</v>
      </c>
      <c r="E37" s="12">
        <v>13</v>
      </c>
      <c r="F37" s="8">
        <v>2.2799999999999998</v>
      </c>
      <c r="G37" s="12">
        <v>7</v>
      </c>
      <c r="H37" s="8">
        <v>1.75</v>
      </c>
      <c r="I37" s="12">
        <v>0</v>
      </c>
    </row>
    <row r="38" spans="2:9" ht="15" customHeight="1" x14ac:dyDescent="0.2">
      <c r="B38" t="s">
        <v>86</v>
      </c>
      <c r="C38" s="12">
        <v>15</v>
      </c>
      <c r="D38" s="8">
        <v>1.52</v>
      </c>
      <c r="E38" s="12">
        <v>14</v>
      </c>
      <c r="F38" s="8">
        <v>2.46</v>
      </c>
      <c r="G38" s="12">
        <v>1</v>
      </c>
      <c r="H38" s="8">
        <v>0.25</v>
      </c>
      <c r="I38" s="12">
        <v>0</v>
      </c>
    </row>
    <row r="39" spans="2:9" ht="15" customHeight="1" x14ac:dyDescent="0.2">
      <c r="B39" t="s">
        <v>102</v>
      </c>
      <c r="C39" s="12">
        <v>12</v>
      </c>
      <c r="D39" s="8">
        <v>1.21</v>
      </c>
      <c r="E39" s="12">
        <v>2</v>
      </c>
      <c r="F39" s="8">
        <v>0.35</v>
      </c>
      <c r="G39" s="12">
        <v>9</v>
      </c>
      <c r="H39" s="8">
        <v>2.25</v>
      </c>
      <c r="I39" s="12">
        <v>1</v>
      </c>
    </row>
    <row r="40" spans="2:9" ht="15" customHeight="1" x14ac:dyDescent="0.2">
      <c r="B40" t="s">
        <v>77</v>
      </c>
      <c r="C40" s="12">
        <v>10</v>
      </c>
      <c r="D40" s="8">
        <v>1.01</v>
      </c>
      <c r="E40" s="12">
        <v>2</v>
      </c>
      <c r="F40" s="8">
        <v>0.35</v>
      </c>
      <c r="G40" s="12">
        <v>8</v>
      </c>
      <c r="H40" s="8">
        <v>2</v>
      </c>
      <c r="I40" s="12">
        <v>0</v>
      </c>
    </row>
    <row r="41" spans="2:9" ht="15" customHeight="1" x14ac:dyDescent="0.2">
      <c r="B41" t="s">
        <v>105</v>
      </c>
      <c r="C41" s="12">
        <v>10</v>
      </c>
      <c r="D41" s="8">
        <v>1.01</v>
      </c>
      <c r="E41" s="12">
        <v>5</v>
      </c>
      <c r="F41" s="8">
        <v>0.88</v>
      </c>
      <c r="G41" s="12">
        <v>5</v>
      </c>
      <c r="H41" s="8">
        <v>1.25</v>
      </c>
      <c r="I41" s="12">
        <v>0</v>
      </c>
    </row>
    <row r="42" spans="2:9" ht="15" customHeight="1" x14ac:dyDescent="0.2">
      <c r="B42" t="s">
        <v>78</v>
      </c>
      <c r="C42" s="12">
        <v>9</v>
      </c>
      <c r="D42" s="8">
        <v>0.91</v>
      </c>
      <c r="E42" s="12">
        <v>2</v>
      </c>
      <c r="F42" s="8">
        <v>0.35</v>
      </c>
      <c r="G42" s="12">
        <v>7</v>
      </c>
      <c r="H42" s="8">
        <v>1.75</v>
      </c>
      <c r="I42" s="12">
        <v>0</v>
      </c>
    </row>
    <row r="43" spans="2:9" ht="15" customHeight="1" x14ac:dyDescent="0.2">
      <c r="B43" t="s">
        <v>84</v>
      </c>
      <c r="C43" s="12">
        <v>9</v>
      </c>
      <c r="D43" s="8">
        <v>0.91</v>
      </c>
      <c r="E43" s="12">
        <v>4</v>
      </c>
      <c r="F43" s="8">
        <v>0.7</v>
      </c>
      <c r="G43" s="12">
        <v>5</v>
      </c>
      <c r="H43" s="8">
        <v>1.25</v>
      </c>
      <c r="I43" s="12">
        <v>0</v>
      </c>
    </row>
    <row r="44" spans="2:9" ht="15" customHeight="1" x14ac:dyDescent="0.2">
      <c r="B44" t="s">
        <v>90</v>
      </c>
      <c r="C44" s="12">
        <v>9</v>
      </c>
      <c r="D44" s="8">
        <v>0.91</v>
      </c>
      <c r="E44" s="12">
        <v>8</v>
      </c>
      <c r="F44" s="8">
        <v>1.4</v>
      </c>
      <c r="G44" s="12">
        <v>1</v>
      </c>
      <c r="H44" s="8">
        <v>0.25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138</v>
      </c>
      <c r="C48" s="12">
        <v>60</v>
      </c>
      <c r="D48" s="8">
        <v>6.07</v>
      </c>
      <c r="E48" s="12">
        <v>53</v>
      </c>
      <c r="F48" s="8">
        <v>9.3000000000000007</v>
      </c>
      <c r="G48" s="12">
        <v>7</v>
      </c>
      <c r="H48" s="8">
        <v>1.75</v>
      </c>
      <c r="I48" s="12">
        <v>0</v>
      </c>
    </row>
    <row r="49" spans="2:9" ht="15" customHeight="1" x14ac:dyDescent="0.2">
      <c r="B49" t="s">
        <v>137</v>
      </c>
      <c r="C49" s="12">
        <v>37</v>
      </c>
      <c r="D49" s="8">
        <v>3.74</v>
      </c>
      <c r="E49" s="12">
        <v>35</v>
      </c>
      <c r="F49" s="8">
        <v>6.14</v>
      </c>
      <c r="G49" s="12">
        <v>2</v>
      </c>
      <c r="H49" s="8">
        <v>0.5</v>
      </c>
      <c r="I49" s="12">
        <v>0</v>
      </c>
    </row>
    <row r="50" spans="2:9" ht="15" customHeight="1" x14ac:dyDescent="0.2">
      <c r="B50" t="s">
        <v>132</v>
      </c>
      <c r="C50" s="12">
        <v>32</v>
      </c>
      <c r="D50" s="8">
        <v>3.24</v>
      </c>
      <c r="E50" s="12">
        <v>17</v>
      </c>
      <c r="F50" s="8">
        <v>2.98</v>
      </c>
      <c r="G50" s="12">
        <v>14</v>
      </c>
      <c r="H50" s="8">
        <v>3.5</v>
      </c>
      <c r="I50" s="12">
        <v>0</v>
      </c>
    </row>
    <row r="51" spans="2:9" ht="15" customHeight="1" x14ac:dyDescent="0.2">
      <c r="B51" t="s">
        <v>133</v>
      </c>
      <c r="C51" s="12">
        <v>29</v>
      </c>
      <c r="D51" s="8">
        <v>2.93</v>
      </c>
      <c r="E51" s="12">
        <v>22</v>
      </c>
      <c r="F51" s="8">
        <v>3.86</v>
      </c>
      <c r="G51" s="12">
        <v>7</v>
      </c>
      <c r="H51" s="8">
        <v>1.75</v>
      </c>
      <c r="I51" s="12">
        <v>0</v>
      </c>
    </row>
    <row r="52" spans="2:9" ht="15" customHeight="1" x14ac:dyDescent="0.2">
      <c r="B52" t="s">
        <v>136</v>
      </c>
      <c r="C52" s="12">
        <v>29</v>
      </c>
      <c r="D52" s="8">
        <v>2.93</v>
      </c>
      <c r="E52" s="12">
        <v>28</v>
      </c>
      <c r="F52" s="8">
        <v>4.91</v>
      </c>
      <c r="G52" s="12">
        <v>1</v>
      </c>
      <c r="H52" s="8">
        <v>0.25</v>
      </c>
      <c r="I52" s="12">
        <v>0</v>
      </c>
    </row>
    <row r="53" spans="2:9" ht="15" customHeight="1" x14ac:dyDescent="0.2">
      <c r="B53" t="s">
        <v>127</v>
      </c>
      <c r="C53" s="12">
        <v>25</v>
      </c>
      <c r="D53" s="8">
        <v>2.5299999999999998</v>
      </c>
      <c r="E53" s="12">
        <v>17</v>
      </c>
      <c r="F53" s="8">
        <v>2.98</v>
      </c>
      <c r="G53" s="12">
        <v>8</v>
      </c>
      <c r="H53" s="8">
        <v>2</v>
      </c>
      <c r="I53" s="12">
        <v>0</v>
      </c>
    </row>
    <row r="54" spans="2:9" ht="15" customHeight="1" x14ac:dyDescent="0.2">
      <c r="B54" t="s">
        <v>135</v>
      </c>
      <c r="C54" s="12">
        <v>25</v>
      </c>
      <c r="D54" s="8">
        <v>2.5299999999999998</v>
      </c>
      <c r="E54" s="12">
        <v>25</v>
      </c>
      <c r="F54" s="8">
        <v>4.3899999999999997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141</v>
      </c>
      <c r="C55" s="12">
        <v>25</v>
      </c>
      <c r="D55" s="8">
        <v>2.5299999999999998</v>
      </c>
      <c r="E55" s="12">
        <v>21</v>
      </c>
      <c r="F55" s="8">
        <v>3.68</v>
      </c>
      <c r="G55" s="12">
        <v>4</v>
      </c>
      <c r="H55" s="8">
        <v>1</v>
      </c>
      <c r="I55" s="12">
        <v>0</v>
      </c>
    </row>
    <row r="56" spans="2:9" ht="15" customHeight="1" x14ac:dyDescent="0.2">
      <c r="B56" t="s">
        <v>122</v>
      </c>
      <c r="C56" s="12">
        <v>23</v>
      </c>
      <c r="D56" s="8">
        <v>2.33</v>
      </c>
      <c r="E56" s="12">
        <v>3</v>
      </c>
      <c r="F56" s="8">
        <v>0.53</v>
      </c>
      <c r="G56" s="12">
        <v>20</v>
      </c>
      <c r="H56" s="8">
        <v>5</v>
      </c>
      <c r="I56" s="12">
        <v>0</v>
      </c>
    </row>
    <row r="57" spans="2:9" ht="15" customHeight="1" x14ac:dyDescent="0.2">
      <c r="B57" t="s">
        <v>139</v>
      </c>
      <c r="C57" s="12">
        <v>21</v>
      </c>
      <c r="D57" s="8">
        <v>2.12</v>
      </c>
      <c r="E57" s="12">
        <v>18</v>
      </c>
      <c r="F57" s="8">
        <v>3.16</v>
      </c>
      <c r="G57" s="12">
        <v>3</v>
      </c>
      <c r="H57" s="8">
        <v>0.75</v>
      </c>
      <c r="I57" s="12">
        <v>0</v>
      </c>
    </row>
    <row r="58" spans="2:9" ht="15" customHeight="1" x14ac:dyDescent="0.2">
      <c r="B58" t="s">
        <v>124</v>
      </c>
      <c r="C58" s="12">
        <v>20</v>
      </c>
      <c r="D58" s="8">
        <v>2.02</v>
      </c>
      <c r="E58" s="12">
        <v>8</v>
      </c>
      <c r="F58" s="8">
        <v>1.4</v>
      </c>
      <c r="G58" s="12">
        <v>12</v>
      </c>
      <c r="H58" s="8">
        <v>3</v>
      </c>
      <c r="I58" s="12">
        <v>0</v>
      </c>
    </row>
    <row r="59" spans="2:9" ht="15" customHeight="1" x14ac:dyDescent="0.2">
      <c r="B59" t="s">
        <v>129</v>
      </c>
      <c r="C59" s="12">
        <v>20</v>
      </c>
      <c r="D59" s="8">
        <v>2.02</v>
      </c>
      <c r="E59" s="12">
        <v>15</v>
      </c>
      <c r="F59" s="8">
        <v>2.63</v>
      </c>
      <c r="G59" s="12">
        <v>5</v>
      </c>
      <c r="H59" s="8">
        <v>1.25</v>
      </c>
      <c r="I59" s="12">
        <v>0</v>
      </c>
    </row>
    <row r="60" spans="2:9" ht="15" customHeight="1" x14ac:dyDescent="0.2">
      <c r="B60" t="s">
        <v>172</v>
      </c>
      <c r="C60" s="12">
        <v>19</v>
      </c>
      <c r="D60" s="8">
        <v>1.92</v>
      </c>
      <c r="E60" s="12">
        <v>4</v>
      </c>
      <c r="F60" s="8">
        <v>0.7</v>
      </c>
      <c r="G60" s="12">
        <v>15</v>
      </c>
      <c r="H60" s="8">
        <v>3.75</v>
      </c>
      <c r="I60" s="12">
        <v>0</v>
      </c>
    </row>
    <row r="61" spans="2:9" ht="15" customHeight="1" x14ac:dyDescent="0.2">
      <c r="B61" t="s">
        <v>134</v>
      </c>
      <c r="C61" s="12">
        <v>19</v>
      </c>
      <c r="D61" s="8">
        <v>1.92</v>
      </c>
      <c r="E61" s="12">
        <v>19</v>
      </c>
      <c r="F61" s="8">
        <v>3.33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140</v>
      </c>
      <c r="C62" s="12">
        <v>19</v>
      </c>
      <c r="D62" s="8">
        <v>1.92</v>
      </c>
      <c r="E62" s="12">
        <v>14</v>
      </c>
      <c r="F62" s="8">
        <v>2.46</v>
      </c>
      <c r="G62" s="12">
        <v>5</v>
      </c>
      <c r="H62" s="8">
        <v>1.25</v>
      </c>
      <c r="I62" s="12">
        <v>0</v>
      </c>
    </row>
    <row r="63" spans="2:9" ht="15" customHeight="1" x14ac:dyDescent="0.2">
      <c r="B63" t="s">
        <v>125</v>
      </c>
      <c r="C63" s="12">
        <v>17</v>
      </c>
      <c r="D63" s="8">
        <v>1.72</v>
      </c>
      <c r="E63" s="12">
        <v>7</v>
      </c>
      <c r="F63" s="8">
        <v>1.23</v>
      </c>
      <c r="G63" s="12">
        <v>10</v>
      </c>
      <c r="H63" s="8">
        <v>2.5</v>
      </c>
      <c r="I63" s="12">
        <v>0</v>
      </c>
    </row>
    <row r="64" spans="2:9" ht="15" customHeight="1" x14ac:dyDescent="0.2">
      <c r="B64" t="s">
        <v>151</v>
      </c>
      <c r="C64" s="12">
        <v>17</v>
      </c>
      <c r="D64" s="8">
        <v>1.72</v>
      </c>
      <c r="E64" s="12">
        <v>10</v>
      </c>
      <c r="F64" s="8">
        <v>1.75</v>
      </c>
      <c r="G64" s="12">
        <v>7</v>
      </c>
      <c r="H64" s="8">
        <v>1.75</v>
      </c>
      <c r="I64" s="12">
        <v>0</v>
      </c>
    </row>
    <row r="65" spans="2:9" ht="15" customHeight="1" x14ac:dyDescent="0.2">
      <c r="B65" t="s">
        <v>126</v>
      </c>
      <c r="C65" s="12">
        <v>17</v>
      </c>
      <c r="D65" s="8">
        <v>1.72</v>
      </c>
      <c r="E65" s="12">
        <v>15</v>
      </c>
      <c r="F65" s="8">
        <v>2.63</v>
      </c>
      <c r="G65" s="12">
        <v>2</v>
      </c>
      <c r="H65" s="8">
        <v>0.5</v>
      </c>
      <c r="I65" s="12">
        <v>0</v>
      </c>
    </row>
    <row r="66" spans="2:9" ht="15" customHeight="1" x14ac:dyDescent="0.2">
      <c r="B66" t="s">
        <v>123</v>
      </c>
      <c r="C66" s="12">
        <v>16</v>
      </c>
      <c r="D66" s="8">
        <v>1.62</v>
      </c>
      <c r="E66" s="12">
        <v>5</v>
      </c>
      <c r="F66" s="8">
        <v>0.88</v>
      </c>
      <c r="G66" s="12">
        <v>11</v>
      </c>
      <c r="H66" s="8">
        <v>2.75</v>
      </c>
      <c r="I66" s="12">
        <v>0</v>
      </c>
    </row>
    <row r="67" spans="2:9" ht="15" customHeight="1" x14ac:dyDescent="0.2">
      <c r="B67" t="s">
        <v>169</v>
      </c>
      <c r="C67" s="12">
        <v>15</v>
      </c>
      <c r="D67" s="8">
        <v>1.52</v>
      </c>
      <c r="E67" s="12">
        <v>6</v>
      </c>
      <c r="F67" s="8">
        <v>1.05</v>
      </c>
      <c r="G67" s="12">
        <v>9</v>
      </c>
      <c r="H67" s="8">
        <v>2.25</v>
      </c>
      <c r="I67" s="12">
        <v>0</v>
      </c>
    </row>
    <row r="68" spans="2:9" ht="15" customHeight="1" x14ac:dyDescent="0.2">
      <c r="B68" t="s">
        <v>128</v>
      </c>
      <c r="C68" s="12">
        <v>15</v>
      </c>
      <c r="D68" s="8">
        <v>1.52</v>
      </c>
      <c r="E68" s="12">
        <v>8</v>
      </c>
      <c r="F68" s="8">
        <v>1.4</v>
      </c>
      <c r="G68" s="12">
        <v>7</v>
      </c>
      <c r="H68" s="8">
        <v>1.75</v>
      </c>
      <c r="I68" s="12">
        <v>0</v>
      </c>
    </row>
    <row r="70" spans="2:9" ht="15" customHeight="1" x14ac:dyDescent="0.2">
      <c r="B70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4DB1F-1826-4579-9747-34A2B27AA9D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240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164</v>
      </c>
      <c r="D6" s="8">
        <v>12.34</v>
      </c>
      <c r="E6" s="12">
        <v>81</v>
      </c>
      <c r="F6" s="8">
        <v>10.28</v>
      </c>
      <c r="G6" s="12">
        <v>83</v>
      </c>
      <c r="H6" s="8">
        <v>15.69</v>
      </c>
      <c r="I6" s="12">
        <v>0</v>
      </c>
    </row>
    <row r="7" spans="2:9" ht="15" customHeight="1" x14ac:dyDescent="0.2">
      <c r="B7" t="s">
        <v>53</v>
      </c>
      <c r="C7" s="12">
        <v>282</v>
      </c>
      <c r="D7" s="8">
        <v>21.22</v>
      </c>
      <c r="E7" s="12">
        <v>159</v>
      </c>
      <c r="F7" s="8">
        <v>20.18</v>
      </c>
      <c r="G7" s="12">
        <v>123</v>
      </c>
      <c r="H7" s="8">
        <v>23.25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0.19</v>
      </c>
      <c r="I8" s="12">
        <v>0</v>
      </c>
    </row>
    <row r="9" spans="2:9" ht="15" customHeight="1" x14ac:dyDescent="0.2">
      <c r="B9" t="s">
        <v>55</v>
      </c>
      <c r="C9" s="12">
        <v>4</v>
      </c>
      <c r="D9" s="8">
        <v>0.3</v>
      </c>
      <c r="E9" s="12">
        <v>1</v>
      </c>
      <c r="F9" s="8">
        <v>0.13</v>
      </c>
      <c r="G9" s="12">
        <v>3</v>
      </c>
      <c r="H9" s="8">
        <v>0.56999999999999995</v>
      </c>
      <c r="I9" s="12">
        <v>0</v>
      </c>
    </row>
    <row r="10" spans="2:9" ht="15" customHeight="1" x14ac:dyDescent="0.2">
      <c r="B10" t="s">
        <v>56</v>
      </c>
      <c r="C10" s="12">
        <v>10</v>
      </c>
      <c r="D10" s="8">
        <v>0.75</v>
      </c>
      <c r="E10" s="12">
        <v>3</v>
      </c>
      <c r="F10" s="8">
        <v>0.38</v>
      </c>
      <c r="G10" s="12">
        <v>7</v>
      </c>
      <c r="H10" s="8">
        <v>1.32</v>
      </c>
      <c r="I10" s="12">
        <v>0</v>
      </c>
    </row>
    <row r="11" spans="2:9" ht="15" customHeight="1" x14ac:dyDescent="0.2">
      <c r="B11" t="s">
        <v>57</v>
      </c>
      <c r="C11" s="12">
        <v>324</v>
      </c>
      <c r="D11" s="8">
        <v>24.38</v>
      </c>
      <c r="E11" s="12">
        <v>174</v>
      </c>
      <c r="F11" s="8">
        <v>22.08</v>
      </c>
      <c r="G11" s="12">
        <v>148</v>
      </c>
      <c r="H11" s="8">
        <v>27.98</v>
      </c>
      <c r="I11" s="12">
        <v>2</v>
      </c>
    </row>
    <row r="12" spans="2:9" ht="15" customHeight="1" x14ac:dyDescent="0.2">
      <c r="B12" t="s">
        <v>58</v>
      </c>
      <c r="C12" s="12">
        <v>16</v>
      </c>
      <c r="D12" s="8">
        <v>1.2</v>
      </c>
      <c r="E12" s="12">
        <v>4</v>
      </c>
      <c r="F12" s="8">
        <v>0.51</v>
      </c>
      <c r="G12" s="12">
        <v>12</v>
      </c>
      <c r="H12" s="8">
        <v>2.27</v>
      </c>
      <c r="I12" s="12">
        <v>0</v>
      </c>
    </row>
    <row r="13" spans="2:9" ht="15" customHeight="1" x14ac:dyDescent="0.2">
      <c r="B13" t="s">
        <v>59</v>
      </c>
      <c r="C13" s="12">
        <v>53</v>
      </c>
      <c r="D13" s="8">
        <v>3.99</v>
      </c>
      <c r="E13" s="12">
        <v>17</v>
      </c>
      <c r="F13" s="8">
        <v>2.16</v>
      </c>
      <c r="G13" s="12">
        <v>36</v>
      </c>
      <c r="H13" s="8">
        <v>6.81</v>
      </c>
      <c r="I13" s="12">
        <v>0</v>
      </c>
    </row>
    <row r="14" spans="2:9" ht="15" customHeight="1" x14ac:dyDescent="0.2">
      <c r="B14" t="s">
        <v>60</v>
      </c>
      <c r="C14" s="12">
        <v>61</v>
      </c>
      <c r="D14" s="8">
        <v>4.59</v>
      </c>
      <c r="E14" s="12">
        <v>41</v>
      </c>
      <c r="F14" s="8">
        <v>5.2</v>
      </c>
      <c r="G14" s="12">
        <v>20</v>
      </c>
      <c r="H14" s="8">
        <v>3.78</v>
      </c>
      <c r="I14" s="12">
        <v>0</v>
      </c>
    </row>
    <row r="15" spans="2:9" ht="15" customHeight="1" x14ac:dyDescent="0.2">
      <c r="B15" t="s">
        <v>61</v>
      </c>
      <c r="C15" s="12">
        <v>144</v>
      </c>
      <c r="D15" s="8">
        <v>10.84</v>
      </c>
      <c r="E15" s="12">
        <v>130</v>
      </c>
      <c r="F15" s="8">
        <v>16.5</v>
      </c>
      <c r="G15" s="12">
        <v>12</v>
      </c>
      <c r="H15" s="8">
        <v>2.27</v>
      </c>
      <c r="I15" s="12">
        <v>1</v>
      </c>
    </row>
    <row r="16" spans="2:9" ht="15" customHeight="1" x14ac:dyDescent="0.2">
      <c r="B16" t="s">
        <v>62</v>
      </c>
      <c r="C16" s="12">
        <v>139</v>
      </c>
      <c r="D16" s="8">
        <v>10.46</v>
      </c>
      <c r="E16" s="12">
        <v>110</v>
      </c>
      <c r="F16" s="8">
        <v>13.96</v>
      </c>
      <c r="G16" s="12">
        <v>29</v>
      </c>
      <c r="H16" s="8">
        <v>5.48</v>
      </c>
      <c r="I16" s="12">
        <v>0</v>
      </c>
    </row>
    <row r="17" spans="2:9" ht="15" customHeight="1" x14ac:dyDescent="0.2">
      <c r="B17" t="s">
        <v>63</v>
      </c>
      <c r="C17" s="12">
        <v>36</v>
      </c>
      <c r="D17" s="8">
        <v>2.71</v>
      </c>
      <c r="E17" s="12">
        <v>23</v>
      </c>
      <c r="F17" s="8">
        <v>2.92</v>
      </c>
      <c r="G17" s="12">
        <v>13</v>
      </c>
      <c r="H17" s="8">
        <v>2.46</v>
      </c>
      <c r="I17" s="12">
        <v>0</v>
      </c>
    </row>
    <row r="18" spans="2:9" ht="15" customHeight="1" x14ac:dyDescent="0.2">
      <c r="B18" t="s">
        <v>64</v>
      </c>
      <c r="C18" s="12">
        <v>42</v>
      </c>
      <c r="D18" s="8">
        <v>3.16</v>
      </c>
      <c r="E18" s="12">
        <v>26</v>
      </c>
      <c r="F18" s="8">
        <v>3.3</v>
      </c>
      <c r="G18" s="12">
        <v>11</v>
      </c>
      <c r="H18" s="8">
        <v>2.08</v>
      </c>
      <c r="I18" s="12">
        <v>1</v>
      </c>
    </row>
    <row r="19" spans="2:9" ht="15" customHeight="1" x14ac:dyDescent="0.2">
      <c r="B19" t="s">
        <v>65</v>
      </c>
      <c r="C19" s="12">
        <v>53</v>
      </c>
      <c r="D19" s="8">
        <v>3.99</v>
      </c>
      <c r="E19" s="12">
        <v>19</v>
      </c>
      <c r="F19" s="8">
        <v>2.41</v>
      </c>
      <c r="G19" s="12">
        <v>31</v>
      </c>
      <c r="H19" s="8">
        <v>5.86</v>
      </c>
      <c r="I19" s="12">
        <v>2</v>
      </c>
    </row>
    <row r="20" spans="2:9" ht="15" customHeight="1" x14ac:dyDescent="0.2">
      <c r="B20" s="9" t="s">
        <v>215</v>
      </c>
      <c r="C20" s="12">
        <f>SUM(LTBL_28213[総数／事業所数])</f>
        <v>1329</v>
      </c>
      <c r="E20" s="12">
        <f>SUBTOTAL(109,LTBL_28213[個人／事業所数])</f>
        <v>788</v>
      </c>
      <c r="G20" s="12">
        <f>SUBTOTAL(109,LTBL_28213[法人／事業所数])</f>
        <v>529</v>
      </c>
      <c r="I20" s="12">
        <f>SUBTOTAL(109,LTBL_28213[法人以外の団体／事業所数])</f>
        <v>6</v>
      </c>
    </row>
    <row r="21" spans="2:9" ht="15" customHeight="1" x14ac:dyDescent="0.2">
      <c r="E21" s="11">
        <f>LTBL_28213[[#Totals],[個人／事業所数]]/LTBL_28213[[#Totals],[総数／事業所数]]</f>
        <v>0.59292701279157256</v>
      </c>
      <c r="G21" s="11">
        <f>LTBL_28213[[#Totals],[法人／事業所数]]/LTBL_28213[[#Totals],[総数／事業所数]]</f>
        <v>0.39804364183596691</v>
      </c>
      <c r="I21" s="11">
        <f>LTBL_28213[[#Totals],[法人以外の団体／事業所数]]/LTBL_28213[[#Totals],[総数／事業所数]]</f>
        <v>4.5146726862302479E-3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110</v>
      </c>
      <c r="C24" s="12">
        <v>157</v>
      </c>
      <c r="D24" s="8">
        <v>11.81</v>
      </c>
      <c r="E24" s="12">
        <v>93</v>
      </c>
      <c r="F24" s="8">
        <v>11.8</v>
      </c>
      <c r="G24" s="12">
        <v>64</v>
      </c>
      <c r="H24" s="8">
        <v>12.1</v>
      </c>
      <c r="I24" s="12">
        <v>0</v>
      </c>
    </row>
    <row r="25" spans="2:9" ht="15" customHeight="1" x14ac:dyDescent="0.2">
      <c r="B25" t="s">
        <v>88</v>
      </c>
      <c r="C25" s="12">
        <v>136</v>
      </c>
      <c r="D25" s="8">
        <v>10.23</v>
      </c>
      <c r="E25" s="12">
        <v>127</v>
      </c>
      <c r="F25" s="8">
        <v>16.12</v>
      </c>
      <c r="G25" s="12">
        <v>8</v>
      </c>
      <c r="H25" s="8">
        <v>1.51</v>
      </c>
      <c r="I25" s="12">
        <v>1</v>
      </c>
    </row>
    <row r="26" spans="2:9" ht="15" customHeight="1" x14ac:dyDescent="0.2">
      <c r="B26" t="s">
        <v>89</v>
      </c>
      <c r="C26" s="12">
        <v>120</v>
      </c>
      <c r="D26" s="8">
        <v>9.0299999999999994</v>
      </c>
      <c r="E26" s="12">
        <v>101</v>
      </c>
      <c r="F26" s="8">
        <v>12.82</v>
      </c>
      <c r="G26" s="12">
        <v>19</v>
      </c>
      <c r="H26" s="8">
        <v>3.59</v>
      </c>
      <c r="I26" s="12">
        <v>0</v>
      </c>
    </row>
    <row r="27" spans="2:9" ht="15" customHeight="1" x14ac:dyDescent="0.2">
      <c r="B27" t="s">
        <v>83</v>
      </c>
      <c r="C27" s="12">
        <v>96</v>
      </c>
      <c r="D27" s="8">
        <v>7.22</v>
      </c>
      <c r="E27" s="12">
        <v>52</v>
      </c>
      <c r="F27" s="8">
        <v>6.6</v>
      </c>
      <c r="G27" s="12">
        <v>44</v>
      </c>
      <c r="H27" s="8">
        <v>8.32</v>
      </c>
      <c r="I27" s="12">
        <v>0</v>
      </c>
    </row>
    <row r="28" spans="2:9" ht="15" customHeight="1" x14ac:dyDescent="0.2">
      <c r="B28" t="s">
        <v>74</v>
      </c>
      <c r="C28" s="12">
        <v>79</v>
      </c>
      <c r="D28" s="8">
        <v>5.94</v>
      </c>
      <c r="E28" s="12">
        <v>25</v>
      </c>
      <c r="F28" s="8">
        <v>3.17</v>
      </c>
      <c r="G28" s="12">
        <v>54</v>
      </c>
      <c r="H28" s="8">
        <v>10.210000000000001</v>
      </c>
      <c r="I28" s="12">
        <v>0</v>
      </c>
    </row>
    <row r="29" spans="2:9" ht="15" customHeight="1" x14ac:dyDescent="0.2">
      <c r="B29" t="s">
        <v>82</v>
      </c>
      <c r="C29" s="12">
        <v>60</v>
      </c>
      <c r="D29" s="8">
        <v>4.51</v>
      </c>
      <c r="E29" s="12">
        <v>38</v>
      </c>
      <c r="F29" s="8">
        <v>4.82</v>
      </c>
      <c r="G29" s="12">
        <v>22</v>
      </c>
      <c r="H29" s="8">
        <v>4.16</v>
      </c>
      <c r="I29" s="12">
        <v>0</v>
      </c>
    </row>
    <row r="30" spans="2:9" ht="15" customHeight="1" x14ac:dyDescent="0.2">
      <c r="B30" t="s">
        <v>75</v>
      </c>
      <c r="C30" s="12">
        <v>51</v>
      </c>
      <c r="D30" s="8">
        <v>3.84</v>
      </c>
      <c r="E30" s="12">
        <v>33</v>
      </c>
      <c r="F30" s="8">
        <v>4.1900000000000004</v>
      </c>
      <c r="G30" s="12">
        <v>18</v>
      </c>
      <c r="H30" s="8">
        <v>3.4</v>
      </c>
      <c r="I30" s="12">
        <v>0</v>
      </c>
    </row>
    <row r="31" spans="2:9" ht="15" customHeight="1" x14ac:dyDescent="0.2">
      <c r="B31" t="s">
        <v>85</v>
      </c>
      <c r="C31" s="12">
        <v>42</v>
      </c>
      <c r="D31" s="8">
        <v>3.16</v>
      </c>
      <c r="E31" s="12">
        <v>12</v>
      </c>
      <c r="F31" s="8">
        <v>1.52</v>
      </c>
      <c r="G31" s="12">
        <v>30</v>
      </c>
      <c r="H31" s="8">
        <v>5.67</v>
      </c>
      <c r="I31" s="12">
        <v>0</v>
      </c>
    </row>
    <row r="32" spans="2:9" ht="15" customHeight="1" x14ac:dyDescent="0.2">
      <c r="B32" t="s">
        <v>81</v>
      </c>
      <c r="C32" s="12">
        <v>40</v>
      </c>
      <c r="D32" s="8">
        <v>3.01</v>
      </c>
      <c r="E32" s="12">
        <v>34</v>
      </c>
      <c r="F32" s="8">
        <v>4.3099999999999996</v>
      </c>
      <c r="G32" s="12">
        <v>5</v>
      </c>
      <c r="H32" s="8">
        <v>0.95</v>
      </c>
      <c r="I32" s="12">
        <v>1</v>
      </c>
    </row>
    <row r="33" spans="2:9" ht="15" customHeight="1" x14ac:dyDescent="0.2">
      <c r="B33" t="s">
        <v>91</v>
      </c>
      <c r="C33" s="12">
        <v>36</v>
      </c>
      <c r="D33" s="8">
        <v>2.71</v>
      </c>
      <c r="E33" s="12">
        <v>23</v>
      </c>
      <c r="F33" s="8">
        <v>2.92</v>
      </c>
      <c r="G33" s="12">
        <v>13</v>
      </c>
      <c r="H33" s="8">
        <v>2.46</v>
      </c>
      <c r="I33" s="12">
        <v>0</v>
      </c>
    </row>
    <row r="34" spans="2:9" ht="15" customHeight="1" x14ac:dyDescent="0.2">
      <c r="B34" t="s">
        <v>86</v>
      </c>
      <c r="C34" s="12">
        <v>35</v>
      </c>
      <c r="D34" s="8">
        <v>2.63</v>
      </c>
      <c r="E34" s="12">
        <v>27</v>
      </c>
      <c r="F34" s="8">
        <v>3.43</v>
      </c>
      <c r="G34" s="12">
        <v>8</v>
      </c>
      <c r="H34" s="8">
        <v>1.51</v>
      </c>
      <c r="I34" s="12">
        <v>0</v>
      </c>
    </row>
    <row r="35" spans="2:9" ht="15" customHeight="1" x14ac:dyDescent="0.2">
      <c r="B35" t="s">
        <v>76</v>
      </c>
      <c r="C35" s="12">
        <v>34</v>
      </c>
      <c r="D35" s="8">
        <v>2.56</v>
      </c>
      <c r="E35" s="12">
        <v>23</v>
      </c>
      <c r="F35" s="8">
        <v>2.92</v>
      </c>
      <c r="G35" s="12">
        <v>11</v>
      </c>
      <c r="H35" s="8">
        <v>2.08</v>
      </c>
      <c r="I35" s="12">
        <v>0</v>
      </c>
    </row>
    <row r="36" spans="2:9" ht="15" customHeight="1" x14ac:dyDescent="0.2">
      <c r="B36" t="s">
        <v>80</v>
      </c>
      <c r="C36" s="12">
        <v>33</v>
      </c>
      <c r="D36" s="8">
        <v>2.48</v>
      </c>
      <c r="E36" s="12">
        <v>19</v>
      </c>
      <c r="F36" s="8">
        <v>2.41</v>
      </c>
      <c r="G36" s="12">
        <v>13</v>
      </c>
      <c r="H36" s="8">
        <v>2.46</v>
      </c>
      <c r="I36" s="12">
        <v>1</v>
      </c>
    </row>
    <row r="37" spans="2:9" ht="15" customHeight="1" x14ac:dyDescent="0.2">
      <c r="B37" t="s">
        <v>77</v>
      </c>
      <c r="C37" s="12">
        <v>27</v>
      </c>
      <c r="D37" s="8">
        <v>2.0299999999999998</v>
      </c>
      <c r="E37" s="12">
        <v>15</v>
      </c>
      <c r="F37" s="8">
        <v>1.9</v>
      </c>
      <c r="G37" s="12">
        <v>12</v>
      </c>
      <c r="H37" s="8">
        <v>2.27</v>
      </c>
      <c r="I37" s="12">
        <v>0</v>
      </c>
    </row>
    <row r="38" spans="2:9" ht="15" customHeight="1" x14ac:dyDescent="0.2">
      <c r="B38" t="s">
        <v>92</v>
      </c>
      <c r="C38" s="12">
        <v>27</v>
      </c>
      <c r="D38" s="8">
        <v>2.0299999999999998</v>
      </c>
      <c r="E38" s="12">
        <v>26</v>
      </c>
      <c r="F38" s="8">
        <v>3.3</v>
      </c>
      <c r="G38" s="12">
        <v>1</v>
      </c>
      <c r="H38" s="8">
        <v>0.19</v>
      </c>
      <c r="I38" s="12">
        <v>0</v>
      </c>
    </row>
    <row r="39" spans="2:9" ht="15" customHeight="1" x14ac:dyDescent="0.2">
      <c r="B39" t="s">
        <v>103</v>
      </c>
      <c r="C39" s="12">
        <v>26</v>
      </c>
      <c r="D39" s="8">
        <v>1.96</v>
      </c>
      <c r="E39" s="12">
        <v>10</v>
      </c>
      <c r="F39" s="8">
        <v>1.27</v>
      </c>
      <c r="G39" s="12">
        <v>16</v>
      </c>
      <c r="H39" s="8">
        <v>3.02</v>
      </c>
      <c r="I39" s="12">
        <v>0</v>
      </c>
    </row>
    <row r="40" spans="2:9" ht="15" customHeight="1" x14ac:dyDescent="0.2">
      <c r="B40" t="s">
        <v>87</v>
      </c>
      <c r="C40" s="12">
        <v>23</v>
      </c>
      <c r="D40" s="8">
        <v>1.73</v>
      </c>
      <c r="E40" s="12">
        <v>13</v>
      </c>
      <c r="F40" s="8">
        <v>1.65</v>
      </c>
      <c r="G40" s="12">
        <v>10</v>
      </c>
      <c r="H40" s="8">
        <v>1.89</v>
      </c>
      <c r="I40" s="12">
        <v>0</v>
      </c>
    </row>
    <row r="41" spans="2:9" ht="15" customHeight="1" x14ac:dyDescent="0.2">
      <c r="B41" t="s">
        <v>104</v>
      </c>
      <c r="C41" s="12">
        <v>22</v>
      </c>
      <c r="D41" s="8">
        <v>1.66</v>
      </c>
      <c r="E41" s="12">
        <v>14</v>
      </c>
      <c r="F41" s="8">
        <v>1.78</v>
      </c>
      <c r="G41" s="12">
        <v>8</v>
      </c>
      <c r="H41" s="8">
        <v>1.51</v>
      </c>
      <c r="I41" s="12">
        <v>0</v>
      </c>
    </row>
    <row r="42" spans="2:9" ht="15" customHeight="1" x14ac:dyDescent="0.2">
      <c r="B42" t="s">
        <v>111</v>
      </c>
      <c r="C42" s="12">
        <v>19</v>
      </c>
      <c r="D42" s="8">
        <v>1.43</v>
      </c>
      <c r="E42" s="12">
        <v>13</v>
      </c>
      <c r="F42" s="8">
        <v>1.65</v>
      </c>
      <c r="G42" s="12">
        <v>6</v>
      </c>
      <c r="H42" s="8">
        <v>1.1299999999999999</v>
      </c>
      <c r="I42" s="12">
        <v>0</v>
      </c>
    </row>
    <row r="43" spans="2:9" ht="15" customHeight="1" x14ac:dyDescent="0.2">
      <c r="B43" t="s">
        <v>97</v>
      </c>
      <c r="C43" s="12">
        <v>18</v>
      </c>
      <c r="D43" s="8">
        <v>1.35</v>
      </c>
      <c r="E43" s="12">
        <v>3</v>
      </c>
      <c r="F43" s="8">
        <v>0.38</v>
      </c>
      <c r="G43" s="12">
        <v>15</v>
      </c>
      <c r="H43" s="8">
        <v>2.84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57</v>
      </c>
      <c r="D47" s="8">
        <v>4.29</v>
      </c>
      <c r="E47" s="12">
        <v>48</v>
      </c>
      <c r="F47" s="8">
        <v>6.09</v>
      </c>
      <c r="G47" s="12">
        <v>9</v>
      </c>
      <c r="H47" s="8">
        <v>1.7</v>
      </c>
      <c r="I47" s="12">
        <v>0</v>
      </c>
    </row>
    <row r="48" spans="2:9" ht="15" customHeight="1" x14ac:dyDescent="0.2">
      <c r="B48" t="s">
        <v>173</v>
      </c>
      <c r="C48" s="12">
        <v>56</v>
      </c>
      <c r="D48" s="8">
        <v>4.21</v>
      </c>
      <c r="E48" s="12">
        <v>24</v>
      </c>
      <c r="F48" s="8">
        <v>3.05</v>
      </c>
      <c r="G48" s="12">
        <v>32</v>
      </c>
      <c r="H48" s="8">
        <v>6.05</v>
      </c>
      <c r="I48" s="12">
        <v>0</v>
      </c>
    </row>
    <row r="49" spans="2:9" ht="15" customHeight="1" x14ac:dyDescent="0.2">
      <c r="B49" t="s">
        <v>137</v>
      </c>
      <c r="C49" s="12">
        <v>42</v>
      </c>
      <c r="D49" s="8">
        <v>3.16</v>
      </c>
      <c r="E49" s="12">
        <v>42</v>
      </c>
      <c r="F49" s="8">
        <v>5.33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175</v>
      </c>
      <c r="C50" s="12">
        <v>40</v>
      </c>
      <c r="D50" s="8">
        <v>3.01</v>
      </c>
      <c r="E50" s="12">
        <v>25</v>
      </c>
      <c r="F50" s="8">
        <v>3.17</v>
      </c>
      <c r="G50" s="12">
        <v>15</v>
      </c>
      <c r="H50" s="8">
        <v>2.84</v>
      </c>
      <c r="I50" s="12">
        <v>0</v>
      </c>
    </row>
    <row r="51" spans="2:9" ht="15" customHeight="1" x14ac:dyDescent="0.2">
      <c r="B51" t="s">
        <v>133</v>
      </c>
      <c r="C51" s="12">
        <v>36</v>
      </c>
      <c r="D51" s="8">
        <v>2.71</v>
      </c>
      <c r="E51" s="12">
        <v>30</v>
      </c>
      <c r="F51" s="8">
        <v>3.81</v>
      </c>
      <c r="G51" s="12">
        <v>6</v>
      </c>
      <c r="H51" s="8">
        <v>1.1299999999999999</v>
      </c>
      <c r="I51" s="12">
        <v>0</v>
      </c>
    </row>
    <row r="52" spans="2:9" ht="15" customHeight="1" x14ac:dyDescent="0.2">
      <c r="B52" t="s">
        <v>127</v>
      </c>
      <c r="C52" s="12">
        <v>32</v>
      </c>
      <c r="D52" s="8">
        <v>2.41</v>
      </c>
      <c r="E52" s="12">
        <v>19</v>
      </c>
      <c r="F52" s="8">
        <v>2.41</v>
      </c>
      <c r="G52" s="12">
        <v>13</v>
      </c>
      <c r="H52" s="8">
        <v>2.46</v>
      </c>
      <c r="I52" s="12">
        <v>0</v>
      </c>
    </row>
    <row r="53" spans="2:9" ht="15" customHeight="1" x14ac:dyDescent="0.2">
      <c r="B53" t="s">
        <v>123</v>
      </c>
      <c r="C53" s="12">
        <v>28</v>
      </c>
      <c r="D53" s="8">
        <v>2.11</v>
      </c>
      <c r="E53" s="12">
        <v>12</v>
      </c>
      <c r="F53" s="8">
        <v>1.52</v>
      </c>
      <c r="G53" s="12">
        <v>16</v>
      </c>
      <c r="H53" s="8">
        <v>3.02</v>
      </c>
      <c r="I53" s="12">
        <v>0</v>
      </c>
    </row>
    <row r="54" spans="2:9" ht="15" customHeight="1" x14ac:dyDescent="0.2">
      <c r="B54" t="s">
        <v>122</v>
      </c>
      <c r="C54" s="12">
        <v>27</v>
      </c>
      <c r="D54" s="8">
        <v>2.0299999999999998</v>
      </c>
      <c r="E54" s="12">
        <v>6</v>
      </c>
      <c r="F54" s="8">
        <v>0.76</v>
      </c>
      <c r="G54" s="12">
        <v>21</v>
      </c>
      <c r="H54" s="8">
        <v>3.97</v>
      </c>
      <c r="I54" s="12">
        <v>0</v>
      </c>
    </row>
    <row r="55" spans="2:9" ht="15" customHeight="1" x14ac:dyDescent="0.2">
      <c r="B55" t="s">
        <v>174</v>
      </c>
      <c r="C55" s="12">
        <v>27</v>
      </c>
      <c r="D55" s="8">
        <v>2.0299999999999998</v>
      </c>
      <c r="E55" s="12">
        <v>25</v>
      </c>
      <c r="F55" s="8">
        <v>3.17</v>
      </c>
      <c r="G55" s="12">
        <v>2</v>
      </c>
      <c r="H55" s="8">
        <v>0.38</v>
      </c>
      <c r="I55" s="12">
        <v>0</v>
      </c>
    </row>
    <row r="56" spans="2:9" ht="15" customHeight="1" x14ac:dyDescent="0.2">
      <c r="B56" t="s">
        <v>129</v>
      </c>
      <c r="C56" s="12">
        <v>24</v>
      </c>
      <c r="D56" s="8">
        <v>1.81</v>
      </c>
      <c r="E56" s="12">
        <v>17</v>
      </c>
      <c r="F56" s="8">
        <v>2.16</v>
      </c>
      <c r="G56" s="12">
        <v>7</v>
      </c>
      <c r="H56" s="8">
        <v>1.32</v>
      </c>
      <c r="I56" s="12">
        <v>0</v>
      </c>
    </row>
    <row r="57" spans="2:9" ht="15" customHeight="1" x14ac:dyDescent="0.2">
      <c r="B57" t="s">
        <v>134</v>
      </c>
      <c r="C57" s="12">
        <v>23</v>
      </c>
      <c r="D57" s="8">
        <v>1.73</v>
      </c>
      <c r="E57" s="12">
        <v>22</v>
      </c>
      <c r="F57" s="8">
        <v>2.79</v>
      </c>
      <c r="G57" s="12">
        <v>1</v>
      </c>
      <c r="H57" s="8">
        <v>0.19</v>
      </c>
      <c r="I57" s="12">
        <v>0</v>
      </c>
    </row>
    <row r="58" spans="2:9" ht="15" customHeight="1" x14ac:dyDescent="0.2">
      <c r="B58" t="s">
        <v>124</v>
      </c>
      <c r="C58" s="12">
        <v>22</v>
      </c>
      <c r="D58" s="8">
        <v>1.66</v>
      </c>
      <c r="E58" s="12">
        <v>16</v>
      </c>
      <c r="F58" s="8">
        <v>2.0299999999999998</v>
      </c>
      <c r="G58" s="12">
        <v>6</v>
      </c>
      <c r="H58" s="8">
        <v>1.1299999999999999</v>
      </c>
      <c r="I58" s="12">
        <v>0</v>
      </c>
    </row>
    <row r="59" spans="2:9" ht="15" customHeight="1" x14ac:dyDescent="0.2">
      <c r="B59" t="s">
        <v>176</v>
      </c>
      <c r="C59" s="12">
        <v>22</v>
      </c>
      <c r="D59" s="8">
        <v>1.66</v>
      </c>
      <c r="E59" s="12">
        <v>13</v>
      </c>
      <c r="F59" s="8">
        <v>1.65</v>
      </c>
      <c r="G59" s="12">
        <v>9</v>
      </c>
      <c r="H59" s="8">
        <v>1.7</v>
      </c>
      <c r="I59" s="12">
        <v>0</v>
      </c>
    </row>
    <row r="60" spans="2:9" ht="15" customHeight="1" x14ac:dyDescent="0.2">
      <c r="B60" t="s">
        <v>165</v>
      </c>
      <c r="C60" s="12">
        <v>22</v>
      </c>
      <c r="D60" s="8">
        <v>1.66</v>
      </c>
      <c r="E60" s="12">
        <v>14</v>
      </c>
      <c r="F60" s="8">
        <v>1.78</v>
      </c>
      <c r="G60" s="12">
        <v>8</v>
      </c>
      <c r="H60" s="8">
        <v>1.51</v>
      </c>
      <c r="I60" s="12">
        <v>0</v>
      </c>
    </row>
    <row r="61" spans="2:9" ht="15" customHeight="1" x14ac:dyDescent="0.2">
      <c r="B61" t="s">
        <v>132</v>
      </c>
      <c r="C61" s="12">
        <v>21</v>
      </c>
      <c r="D61" s="8">
        <v>1.58</v>
      </c>
      <c r="E61" s="12">
        <v>7</v>
      </c>
      <c r="F61" s="8">
        <v>0.89</v>
      </c>
      <c r="G61" s="12">
        <v>14</v>
      </c>
      <c r="H61" s="8">
        <v>2.65</v>
      </c>
      <c r="I61" s="12">
        <v>0</v>
      </c>
    </row>
    <row r="62" spans="2:9" ht="15" customHeight="1" x14ac:dyDescent="0.2">
      <c r="B62" t="s">
        <v>136</v>
      </c>
      <c r="C62" s="12">
        <v>20</v>
      </c>
      <c r="D62" s="8">
        <v>1.5</v>
      </c>
      <c r="E62" s="12">
        <v>20</v>
      </c>
      <c r="F62" s="8">
        <v>2.54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141</v>
      </c>
      <c r="C63" s="12">
        <v>20</v>
      </c>
      <c r="D63" s="8">
        <v>1.5</v>
      </c>
      <c r="E63" s="12">
        <v>19</v>
      </c>
      <c r="F63" s="8">
        <v>2.41</v>
      </c>
      <c r="G63" s="12">
        <v>1</v>
      </c>
      <c r="H63" s="8">
        <v>0.19</v>
      </c>
      <c r="I63" s="12">
        <v>0</v>
      </c>
    </row>
    <row r="64" spans="2:9" ht="15" customHeight="1" x14ac:dyDescent="0.2">
      <c r="B64" t="s">
        <v>140</v>
      </c>
      <c r="C64" s="12">
        <v>19</v>
      </c>
      <c r="D64" s="8">
        <v>1.43</v>
      </c>
      <c r="E64" s="12">
        <v>12</v>
      </c>
      <c r="F64" s="8">
        <v>1.52</v>
      </c>
      <c r="G64" s="12">
        <v>7</v>
      </c>
      <c r="H64" s="8">
        <v>1.32</v>
      </c>
      <c r="I64" s="12">
        <v>0</v>
      </c>
    </row>
    <row r="65" spans="2:9" ht="15" customHeight="1" x14ac:dyDescent="0.2">
      <c r="B65" t="s">
        <v>126</v>
      </c>
      <c r="C65" s="12">
        <v>18</v>
      </c>
      <c r="D65" s="8">
        <v>1.35</v>
      </c>
      <c r="E65" s="12">
        <v>14</v>
      </c>
      <c r="F65" s="8">
        <v>1.78</v>
      </c>
      <c r="G65" s="12">
        <v>3</v>
      </c>
      <c r="H65" s="8">
        <v>0.56999999999999995</v>
      </c>
      <c r="I65" s="12">
        <v>1</v>
      </c>
    </row>
    <row r="66" spans="2:9" ht="15" customHeight="1" x14ac:dyDescent="0.2">
      <c r="B66" t="s">
        <v>128</v>
      </c>
      <c r="C66" s="12">
        <v>18</v>
      </c>
      <c r="D66" s="8">
        <v>1.35</v>
      </c>
      <c r="E66" s="12">
        <v>10</v>
      </c>
      <c r="F66" s="8">
        <v>1.27</v>
      </c>
      <c r="G66" s="12">
        <v>8</v>
      </c>
      <c r="H66" s="8">
        <v>1.51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06CCB-7C0A-43BA-A579-AA3882C9E88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241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395</v>
      </c>
      <c r="D6" s="8">
        <v>13.04</v>
      </c>
      <c r="E6" s="12">
        <v>77</v>
      </c>
      <c r="F6" s="8">
        <v>5.76</v>
      </c>
      <c r="G6" s="12">
        <v>318</v>
      </c>
      <c r="H6" s="8">
        <v>18.88</v>
      </c>
      <c r="I6" s="12">
        <v>0</v>
      </c>
    </row>
    <row r="7" spans="2:9" ht="15" customHeight="1" x14ac:dyDescent="0.2">
      <c r="B7" t="s">
        <v>53</v>
      </c>
      <c r="C7" s="12">
        <v>86</v>
      </c>
      <c r="D7" s="8">
        <v>2.84</v>
      </c>
      <c r="E7" s="12">
        <v>32</v>
      </c>
      <c r="F7" s="8">
        <v>2.39</v>
      </c>
      <c r="G7" s="12">
        <v>54</v>
      </c>
      <c r="H7" s="8">
        <v>3.21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7.0000000000000007E-2</v>
      </c>
      <c r="E8" s="12">
        <v>0</v>
      </c>
      <c r="F8" s="8">
        <v>0</v>
      </c>
      <c r="G8" s="12">
        <v>2</v>
      </c>
      <c r="H8" s="8">
        <v>0.12</v>
      </c>
      <c r="I8" s="12">
        <v>0</v>
      </c>
    </row>
    <row r="9" spans="2:9" ht="15" customHeight="1" x14ac:dyDescent="0.2">
      <c r="B9" t="s">
        <v>55</v>
      </c>
      <c r="C9" s="12">
        <v>47</v>
      </c>
      <c r="D9" s="8">
        <v>1.55</v>
      </c>
      <c r="E9" s="12">
        <v>3</v>
      </c>
      <c r="F9" s="8">
        <v>0.22</v>
      </c>
      <c r="G9" s="12">
        <v>44</v>
      </c>
      <c r="H9" s="8">
        <v>2.61</v>
      </c>
      <c r="I9" s="12">
        <v>0</v>
      </c>
    </row>
    <row r="10" spans="2:9" ht="15" customHeight="1" x14ac:dyDescent="0.2">
      <c r="B10" t="s">
        <v>56</v>
      </c>
      <c r="C10" s="12">
        <v>20</v>
      </c>
      <c r="D10" s="8">
        <v>0.66</v>
      </c>
      <c r="E10" s="12">
        <v>0</v>
      </c>
      <c r="F10" s="8">
        <v>0</v>
      </c>
      <c r="G10" s="12">
        <v>19</v>
      </c>
      <c r="H10" s="8">
        <v>1.1299999999999999</v>
      </c>
      <c r="I10" s="12">
        <v>1</v>
      </c>
    </row>
    <row r="11" spans="2:9" ht="15" customHeight="1" x14ac:dyDescent="0.2">
      <c r="B11" t="s">
        <v>57</v>
      </c>
      <c r="C11" s="12">
        <v>661</v>
      </c>
      <c r="D11" s="8">
        <v>21.82</v>
      </c>
      <c r="E11" s="12">
        <v>289</v>
      </c>
      <c r="F11" s="8">
        <v>21.62</v>
      </c>
      <c r="G11" s="12">
        <v>372</v>
      </c>
      <c r="H11" s="8">
        <v>22.09</v>
      </c>
      <c r="I11" s="12">
        <v>0</v>
      </c>
    </row>
    <row r="12" spans="2:9" ht="15" customHeight="1" x14ac:dyDescent="0.2">
      <c r="B12" t="s">
        <v>58</v>
      </c>
      <c r="C12" s="12">
        <v>19</v>
      </c>
      <c r="D12" s="8">
        <v>0.63</v>
      </c>
      <c r="E12" s="12">
        <v>2</v>
      </c>
      <c r="F12" s="8">
        <v>0.15</v>
      </c>
      <c r="G12" s="12">
        <v>17</v>
      </c>
      <c r="H12" s="8">
        <v>1.01</v>
      </c>
      <c r="I12" s="12">
        <v>0</v>
      </c>
    </row>
    <row r="13" spans="2:9" ht="15" customHeight="1" x14ac:dyDescent="0.2">
      <c r="B13" t="s">
        <v>59</v>
      </c>
      <c r="C13" s="12">
        <v>466</v>
      </c>
      <c r="D13" s="8">
        <v>15.38</v>
      </c>
      <c r="E13" s="12">
        <v>79</v>
      </c>
      <c r="F13" s="8">
        <v>5.91</v>
      </c>
      <c r="G13" s="12">
        <v>386</v>
      </c>
      <c r="H13" s="8">
        <v>22.92</v>
      </c>
      <c r="I13" s="12">
        <v>1</v>
      </c>
    </row>
    <row r="14" spans="2:9" ht="15" customHeight="1" x14ac:dyDescent="0.2">
      <c r="B14" t="s">
        <v>60</v>
      </c>
      <c r="C14" s="12">
        <v>205</v>
      </c>
      <c r="D14" s="8">
        <v>6.77</v>
      </c>
      <c r="E14" s="12">
        <v>90</v>
      </c>
      <c r="F14" s="8">
        <v>6.73</v>
      </c>
      <c r="G14" s="12">
        <v>115</v>
      </c>
      <c r="H14" s="8">
        <v>6.83</v>
      </c>
      <c r="I14" s="12">
        <v>0</v>
      </c>
    </row>
    <row r="15" spans="2:9" ht="15" customHeight="1" x14ac:dyDescent="0.2">
      <c r="B15" t="s">
        <v>61</v>
      </c>
      <c r="C15" s="12">
        <v>306</v>
      </c>
      <c r="D15" s="8">
        <v>10.1</v>
      </c>
      <c r="E15" s="12">
        <v>251</v>
      </c>
      <c r="F15" s="8">
        <v>18.77</v>
      </c>
      <c r="G15" s="12">
        <v>55</v>
      </c>
      <c r="H15" s="8">
        <v>3.27</v>
      </c>
      <c r="I15" s="12">
        <v>0</v>
      </c>
    </row>
    <row r="16" spans="2:9" ht="15" customHeight="1" x14ac:dyDescent="0.2">
      <c r="B16" t="s">
        <v>62</v>
      </c>
      <c r="C16" s="12">
        <v>361</v>
      </c>
      <c r="D16" s="8">
        <v>11.91</v>
      </c>
      <c r="E16" s="12">
        <v>253</v>
      </c>
      <c r="F16" s="8">
        <v>18.920000000000002</v>
      </c>
      <c r="G16" s="12">
        <v>105</v>
      </c>
      <c r="H16" s="8">
        <v>6.24</v>
      </c>
      <c r="I16" s="12">
        <v>0</v>
      </c>
    </row>
    <row r="17" spans="2:9" ht="15" customHeight="1" x14ac:dyDescent="0.2">
      <c r="B17" t="s">
        <v>63</v>
      </c>
      <c r="C17" s="12">
        <v>165</v>
      </c>
      <c r="D17" s="8">
        <v>5.45</v>
      </c>
      <c r="E17" s="12">
        <v>118</v>
      </c>
      <c r="F17" s="8">
        <v>8.83</v>
      </c>
      <c r="G17" s="12">
        <v>46</v>
      </c>
      <c r="H17" s="8">
        <v>2.73</v>
      </c>
      <c r="I17" s="12">
        <v>1</v>
      </c>
    </row>
    <row r="18" spans="2:9" ht="15" customHeight="1" x14ac:dyDescent="0.2">
      <c r="B18" t="s">
        <v>64</v>
      </c>
      <c r="C18" s="12">
        <v>192</v>
      </c>
      <c r="D18" s="8">
        <v>6.34</v>
      </c>
      <c r="E18" s="12">
        <v>123</v>
      </c>
      <c r="F18" s="8">
        <v>9.1999999999999993</v>
      </c>
      <c r="G18" s="12">
        <v>69</v>
      </c>
      <c r="H18" s="8">
        <v>4.0999999999999996</v>
      </c>
      <c r="I18" s="12">
        <v>0</v>
      </c>
    </row>
    <row r="19" spans="2:9" ht="15" customHeight="1" x14ac:dyDescent="0.2">
      <c r="B19" t="s">
        <v>65</v>
      </c>
      <c r="C19" s="12">
        <v>105</v>
      </c>
      <c r="D19" s="8">
        <v>3.47</v>
      </c>
      <c r="E19" s="12">
        <v>20</v>
      </c>
      <c r="F19" s="8">
        <v>1.5</v>
      </c>
      <c r="G19" s="12">
        <v>82</v>
      </c>
      <c r="H19" s="8">
        <v>4.87</v>
      </c>
      <c r="I19" s="12">
        <v>3</v>
      </c>
    </row>
    <row r="20" spans="2:9" ht="15" customHeight="1" x14ac:dyDescent="0.2">
      <c r="B20" s="9" t="s">
        <v>215</v>
      </c>
      <c r="C20" s="12">
        <f>SUM(LTBL_28214[総数／事業所数])</f>
        <v>3030</v>
      </c>
      <c r="E20" s="12">
        <f>SUBTOTAL(109,LTBL_28214[個人／事業所数])</f>
        <v>1337</v>
      </c>
      <c r="G20" s="12">
        <f>SUBTOTAL(109,LTBL_28214[法人／事業所数])</f>
        <v>1684</v>
      </c>
      <c r="I20" s="12">
        <f>SUBTOTAL(109,LTBL_28214[法人以外の団体／事業所数])</f>
        <v>6</v>
      </c>
    </row>
    <row r="21" spans="2:9" ht="15" customHeight="1" x14ac:dyDescent="0.2">
      <c r="E21" s="11">
        <f>LTBL_28214[[#Totals],[個人／事業所数]]/LTBL_28214[[#Totals],[総数／事業所数]]</f>
        <v>0.44125412541254128</v>
      </c>
      <c r="G21" s="11">
        <f>LTBL_28214[[#Totals],[法人／事業所数]]/LTBL_28214[[#Totals],[総数／事業所数]]</f>
        <v>0.55577557755775575</v>
      </c>
      <c r="I21" s="11">
        <f>LTBL_28214[[#Totals],[法人以外の団体／事業所数]]/LTBL_28214[[#Totals],[総数／事業所数]]</f>
        <v>1.9801980198019802E-3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85</v>
      </c>
      <c r="C24" s="12">
        <v>378</v>
      </c>
      <c r="D24" s="8">
        <v>12.48</v>
      </c>
      <c r="E24" s="12">
        <v>63</v>
      </c>
      <c r="F24" s="8">
        <v>4.71</v>
      </c>
      <c r="G24" s="12">
        <v>314</v>
      </c>
      <c r="H24" s="8">
        <v>18.649999999999999</v>
      </c>
      <c r="I24" s="12">
        <v>1</v>
      </c>
    </row>
    <row r="25" spans="2:9" ht="15" customHeight="1" x14ac:dyDescent="0.2">
      <c r="B25" t="s">
        <v>89</v>
      </c>
      <c r="C25" s="12">
        <v>296</v>
      </c>
      <c r="D25" s="8">
        <v>9.77</v>
      </c>
      <c r="E25" s="12">
        <v>227</v>
      </c>
      <c r="F25" s="8">
        <v>16.98</v>
      </c>
      <c r="G25" s="12">
        <v>69</v>
      </c>
      <c r="H25" s="8">
        <v>4.0999999999999996</v>
      </c>
      <c r="I25" s="12">
        <v>0</v>
      </c>
    </row>
    <row r="26" spans="2:9" ht="15" customHeight="1" x14ac:dyDescent="0.2">
      <c r="B26" t="s">
        <v>88</v>
      </c>
      <c r="C26" s="12">
        <v>279</v>
      </c>
      <c r="D26" s="8">
        <v>9.2100000000000009</v>
      </c>
      <c r="E26" s="12">
        <v>244</v>
      </c>
      <c r="F26" s="8">
        <v>18.25</v>
      </c>
      <c r="G26" s="12">
        <v>35</v>
      </c>
      <c r="H26" s="8">
        <v>2.08</v>
      </c>
      <c r="I26" s="12">
        <v>0</v>
      </c>
    </row>
    <row r="27" spans="2:9" ht="15" customHeight="1" x14ac:dyDescent="0.2">
      <c r="B27" t="s">
        <v>74</v>
      </c>
      <c r="C27" s="12">
        <v>215</v>
      </c>
      <c r="D27" s="8">
        <v>7.1</v>
      </c>
      <c r="E27" s="12">
        <v>42</v>
      </c>
      <c r="F27" s="8">
        <v>3.14</v>
      </c>
      <c r="G27" s="12">
        <v>173</v>
      </c>
      <c r="H27" s="8">
        <v>10.27</v>
      </c>
      <c r="I27" s="12">
        <v>0</v>
      </c>
    </row>
    <row r="28" spans="2:9" ht="15" customHeight="1" x14ac:dyDescent="0.2">
      <c r="B28" t="s">
        <v>83</v>
      </c>
      <c r="C28" s="12">
        <v>188</v>
      </c>
      <c r="D28" s="8">
        <v>6.2</v>
      </c>
      <c r="E28" s="12">
        <v>96</v>
      </c>
      <c r="F28" s="8">
        <v>7.18</v>
      </c>
      <c r="G28" s="12">
        <v>92</v>
      </c>
      <c r="H28" s="8">
        <v>5.46</v>
      </c>
      <c r="I28" s="12">
        <v>0</v>
      </c>
    </row>
    <row r="29" spans="2:9" ht="15" customHeight="1" x14ac:dyDescent="0.2">
      <c r="B29" t="s">
        <v>91</v>
      </c>
      <c r="C29" s="12">
        <v>165</v>
      </c>
      <c r="D29" s="8">
        <v>5.45</v>
      </c>
      <c r="E29" s="12">
        <v>118</v>
      </c>
      <c r="F29" s="8">
        <v>8.83</v>
      </c>
      <c r="G29" s="12">
        <v>46</v>
      </c>
      <c r="H29" s="8">
        <v>2.73</v>
      </c>
      <c r="I29" s="12">
        <v>1</v>
      </c>
    </row>
    <row r="30" spans="2:9" ht="15" customHeight="1" x14ac:dyDescent="0.2">
      <c r="B30" t="s">
        <v>92</v>
      </c>
      <c r="C30" s="12">
        <v>143</v>
      </c>
      <c r="D30" s="8">
        <v>4.72</v>
      </c>
      <c r="E30" s="12">
        <v>123</v>
      </c>
      <c r="F30" s="8">
        <v>9.1999999999999993</v>
      </c>
      <c r="G30" s="12">
        <v>20</v>
      </c>
      <c r="H30" s="8">
        <v>1.19</v>
      </c>
      <c r="I30" s="12">
        <v>0</v>
      </c>
    </row>
    <row r="31" spans="2:9" ht="15" customHeight="1" x14ac:dyDescent="0.2">
      <c r="B31" t="s">
        <v>86</v>
      </c>
      <c r="C31" s="12">
        <v>130</v>
      </c>
      <c r="D31" s="8">
        <v>4.29</v>
      </c>
      <c r="E31" s="12">
        <v>59</v>
      </c>
      <c r="F31" s="8">
        <v>4.41</v>
      </c>
      <c r="G31" s="12">
        <v>71</v>
      </c>
      <c r="H31" s="8">
        <v>4.22</v>
      </c>
      <c r="I31" s="12">
        <v>0</v>
      </c>
    </row>
    <row r="32" spans="2:9" ht="15" customHeight="1" x14ac:dyDescent="0.2">
      <c r="B32" t="s">
        <v>81</v>
      </c>
      <c r="C32" s="12">
        <v>125</v>
      </c>
      <c r="D32" s="8">
        <v>4.13</v>
      </c>
      <c r="E32" s="12">
        <v>76</v>
      </c>
      <c r="F32" s="8">
        <v>5.68</v>
      </c>
      <c r="G32" s="12">
        <v>49</v>
      </c>
      <c r="H32" s="8">
        <v>2.91</v>
      </c>
      <c r="I32" s="12">
        <v>0</v>
      </c>
    </row>
    <row r="33" spans="2:9" ht="15" customHeight="1" x14ac:dyDescent="0.2">
      <c r="B33" t="s">
        <v>75</v>
      </c>
      <c r="C33" s="12">
        <v>93</v>
      </c>
      <c r="D33" s="8">
        <v>3.07</v>
      </c>
      <c r="E33" s="12">
        <v>21</v>
      </c>
      <c r="F33" s="8">
        <v>1.57</v>
      </c>
      <c r="G33" s="12">
        <v>72</v>
      </c>
      <c r="H33" s="8">
        <v>4.28</v>
      </c>
      <c r="I33" s="12">
        <v>0</v>
      </c>
    </row>
    <row r="34" spans="2:9" ht="15" customHeight="1" x14ac:dyDescent="0.2">
      <c r="B34" t="s">
        <v>76</v>
      </c>
      <c r="C34" s="12">
        <v>87</v>
      </c>
      <c r="D34" s="8">
        <v>2.87</v>
      </c>
      <c r="E34" s="12">
        <v>14</v>
      </c>
      <c r="F34" s="8">
        <v>1.05</v>
      </c>
      <c r="G34" s="12">
        <v>73</v>
      </c>
      <c r="H34" s="8">
        <v>4.33</v>
      </c>
      <c r="I34" s="12">
        <v>0</v>
      </c>
    </row>
    <row r="35" spans="2:9" ht="15" customHeight="1" x14ac:dyDescent="0.2">
      <c r="B35" t="s">
        <v>80</v>
      </c>
      <c r="C35" s="12">
        <v>82</v>
      </c>
      <c r="D35" s="8">
        <v>2.71</v>
      </c>
      <c r="E35" s="12">
        <v>47</v>
      </c>
      <c r="F35" s="8">
        <v>3.52</v>
      </c>
      <c r="G35" s="12">
        <v>35</v>
      </c>
      <c r="H35" s="8">
        <v>2.08</v>
      </c>
      <c r="I35" s="12">
        <v>0</v>
      </c>
    </row>
    <row r="36" spans="2:9" ht="15" customHeight="1" x14ac:dyDescent="0.2">
      <c r="B36" t="s">
        <v>82</v>
      </c>
      <c r="C36" s="12">
        <v>81</v>
      </c>
      <c r="D36" s="8">
        <v>2.67</v>
      </c>
      <c r="E36" s="12">
        <v>43</v>
      </c>
      <c r="F36" s="8">
        <v>3.22</v>
      </c>
      <c r="G36" s="12">
        <v>38</v>
      </c>
      <c r="H36" s="8">
        <v>2.2599999999999998</v>
      </c>
      <c r="I36" s="12">
        <v>0</v>
      </c>
    </row>
    <row r="37" spans="2:9" ht="15" customHeight="1" x14ac:dyDescent="0.2">
      <c r="B37" t="s">
        <v>84</v>
      </c>
      <c r="C37" s="12">
        <v>74</v>
      </c>
      <c r="D37" s="8">
        <v>2.44</v>
      </c>
      <c r="E37" s="12">
        <v>14</v>
      </c>
      <c r="F37" s="8">
        <v>1.05</v>
      </c>
      <c r="G37" s="12">
        <v>60</v>
      </c>
      <c r="H37" s="8">
        <v>3.56</v>
      </c>
      <c r="I37" s="12">
        <v>0</v>
      </c>
    </row>
    <row r="38" spans="2:9" ht="15" customHeight="1" x14ac:dyDescent="0.2">
      <c r="B38" t="s">
        <v>87</v>
      </c>
      <c r="C38" s="12">
        <v>71</v>
      </c>
      <c r="D38" s="8">
        <v>2.34</v>
      </c>
      <c r="E38" s="12">
        <v>31</v>
      </c>
      <c r="F38" s="8">
        <v>2.3199999999999998</v>
      </c>
      <c r="G38" s="12">
        <v>40</v>
      </c>
      <c r="H38" s="8">
        <v>2.38</v>
      </c>
      <c r="I38" s="12">
        <v>0</v>
      </c>
    </row>
    <row r="39" spans="2:9" ht="15" customHeight="1" x14ac:dyDescent="0.2">
      <c r="B39" t="s">
        <v>94</v>
      </c>
      <c r="C39" s="12">
        <v>53</v>
      </c>
      <c r="D39" s="8">
        <v>1.75</v>
      </c>
      <c r="E39" s="12">
        <v>1</v>
      </c>
      <c r="F39" s="8">
        <v>7.0000000000000007E-2</v>
      </c>
      <c r="G39" s="12">
        <v>51</v>
      </c>
      <c r="H39" s="8">
        <v>3.03</v>
      </c>
      <c r="I39" s="12">
        <v>1</v>
      </c>
    </row>
    <row r="40" spans="2:9" ht="15" customHeight="1" x14ac:dyDescent="0.2">
      <c r="B40" t="s">
        <v>93</v>
      </c>
      <c r="C40" s="12">
        <v>49</v>
      </c>
      <c r="D40" s="8">
        <v>1.62</v>
      </c>
      <c r="E40" s="12">
        <v>0</v>
      </c>
      <c r="F40" s="8">
        <v>0</v>
      </c>
      <c r="G40" s="12">
        <v>49</v>
      </c>
      <c r="H40" s="8">
        <v>2.91</v>
      </c>
      <c r="I40" s="12">
        <v>0</v>
      </c>
    </row>
    <row r="41" spans="2:9" ht="15" customHeight="1" x14ac:dyDescent="0.2">
      <c r="B41" t="s">
        <v>90</v>
      </c>
      <c r="C41" s="12">
        <v>47</v>
      </c>
      <c r="D41" s="8">
        <v>1.55</v>
      </c>
      <c r="E41" s="12">
        <v>19</v>
      </c>
      <c r="F41" s="8">
        <v>1.42</v>
      </c>
      <c r="G41" s="12">
        <v>26</v>
      </c>
      <c r="H41" s="8">
        <v>1.54</v>
      </c>
      <c r="I41" s="12">
        <v>0</v>
      </c>
    </row>
    <row r="42" spans="2:9" ht="15" customHeight="1" x14ac:dyDescent="0.2">
      <c r="B42" t="s">
        <v>101</v>
      </c>
      <c r="C42" s="12">
        <v>45</v>
      </c>
      <c r="D42" s="8">
        <v>1.49</v>
      </c>
      <c r="E42" s="12">
        <v>2</v>
      </c>
      <c r="F42" s="8">
        <v>0.15</v>
      </c>
      <c r="G42" s="12">
        <v>43</v>
      </c>
      <c r="H42" s="8">
        <v>2.5499999999999998</v>
      </c>
      <c r="I42" s="12">
        <v>0</v>
      </c>
    </row>
    <row r="43" spans="2:9" ht="15" customHeight="1" x14ac:dyDescent="0.2">
      <c r="B43" t="s">
        <v>78</v>
      </c>
      <c r="C43" s="12">
        <v>35</v>
      </c>
      <c r="D43" s="8">
        <v>1.1599999999999999</v>
      </c>
      <c r="E43" s="12">
        <v>4</v>
      </c>
      <c r="F43" s="8">
        <v>0.3</v>
      </c>
      <c r="G43" s="12">
        <v>31</v>
      </c>
      <c r="H43" s="8">
        <v>1.84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132</v>
      </c>
      <c r="C47" s="12">
        <v>198</v>
      </c>
      <c r="D47" s="8">
        <v>6.53</v>
      </c>
      <c r="E47" s="12">
        <v>44</v>
      </c>
      <c r="F47" s="8">
        <v>3.29</v>
      </c>
      <c r="G47" s="12">
        <v>154</v>
      </c>
      <c r="H47" s="8">
        <v>9.14</v>
      </c>
      <c r="I47" s="12">
        <v>0</v>
      </c>
    </row>
    <row r="48" spans="2:9" ht="15" customHeight="1" x14ac:dyDescent="0.2">
      <c r="B48" t="s">
        <v>138</v>
      </c>
      <c r="C48" s="12">
        <v>165</v>
      </c>
      <c r="D48" s="8">
        <v>5.45</v>
      </c>
      <c r="E48" s="12">
        <v>145</v>
      </c>
      <c r="F48" s="8">
        <v>10.85</v>
      </c>
      <c r="G48" s="12">
        <v>20</v>
      </c>
      <c r="H48" s="8">
        <v>1.19</v>
      </c>
      <c r="I48" s="12">
        <v>0</v>
      </c>
    </row>
    <row r="49" spans="2:9" ht="15" customHeight="1" x14ac:dyDescent="0.2">
      <c r="B49" t="s">
        <v>122</v>
      </c>
      <c r="C49" s="12">
        <v>112</v>
      </c>
      <c r="D49" s="8">
        <v>3.7</v>
      </c>
      <c r="E49" s="12">
        <v>25</v>
      </c>
      <c r="F49" s="8">
        <v>1.87</v>
      </c>
      <c r="G49" s="12">
        <v>87</v>
      </c>
      <c r="H49" s="8">
        <v>5.17</v>
      </c>
      <c r="I49" s="12">
        <v>0</v>
      </c>
    </row>
    <row r="50" spans="2:9" ht="15" customHeight="1" x14ac:dyDescent="0.2">
      <c r="B50" t="s">
        <v>140</v>
      </c>
      <c r="C50" s="12">
        <v>106</v>
      </c>
      <c r="D50" s="8">
        <v>3.5</v>
      </c>
      <c r="E50" s="12">
        <v>81</v>
      </c>
      <c r="F50" s="8">
        <v>6.06</v>
      </c>
      <c r="G50" s="12">
        <v>25</v>
      </c>
      <c r="H50" s="8">
        <v>1.48</v>
      </c>
      <c r="I50" s="12">
        <v>0</v>
      </c>
    </row>
    <row r="51" spans="2:9" ht="15" customHeight="1" x14ac:dyDescent="0.2">
      <c r="B51" t="s">
        <v>141</v>
      </c>
      <c r="C51" s="12">
        <v>99</v>
      </c>
      <c r="D51" s="8">
        <v>3.27</v>
      </c>
      <c r="E51" s="12">
        <v>92</v>
      </c>
      <c r="F51" s="8">
        <v>6.88</v>
      </c>
      <c r="G51" s="12">
        <v>7</v>
      </c>
      <c r="H51" s="8">
        <v>0.42</v>
      </c>
      <c r="I51" s="12">
        <v>0</v>
      </c>
    </row>
    <row r="52" spans="2:9" ht="15" customHeight="1" x14ac:dyDescent="0.2">
      <c r="B52" t="s">
        <v>131</v>
      </c>
      <c r="C52" s="12">
        <v>77</v>
      </c>
      <c r="D52" s="8">
        <v>2.54</v>
      </c>
      <c r="E52" s="12">
        <v>5</v>
      </c>
      <c r="F52" s="8">
        <v>0.37</v>
      </c>
      <c r="G52" s="12">
        <v>72</v>
      </c>
      <c r="H52" s="8">
        <v>4.28</v>
      </c>
      <c r="I52" s="12">
        <v>0</v>
      </c>
    </row>
    <row r="53" spans="2:9" ht="15" customHeight="1" x14ac:dyDescent="0.2">
      <c r="B53" t="s">
        <v>133</v>
      </c>
      <c r="C53" s="12">
        <v>76</v>
      </c>
      <c r="D53" s="8">
        <v>2.5099999999999998</v>
      </c>
      <c r="E53" s="12">
        <v>64</v>
      </c>
      <c r="F53" s="8">
        <v>4.79</v>
      </c>
      <c r="G53" s="12">
        <v>12</v>
      </c>
      <c r="H53" s="8">
        <v>0.71</v>
      </c>
      <c r="I53" s="12">
        <v>0</v>
      </c>
    </row>
    <row r="54" spans="2:9" ht="15" customHeight="1" x14ac:dyDescent="0.2">
      <c r="B54" t="s">
        <v>129</v>
      </c>
      <c r="C54" s="12">
        <v>71</v>
      </c>
      <c r="D54" s="8">
        <v>2.34</v>
      </c>
      <c r="E54" s="12">
        <v>50</v>
      </c>
      <c r="F54" s="8">
        <v>3.74</v>
      </c>
      <c r="G54" s="12">
        <v>21</v>
      </c>
      <c r="H54" s="8">
        <v>1.25</v>
      </c>
      <c r="I54" s="12">
        <v>0</v>
      </c>
    </row>
    <row r="55" spans="2:9" ht="15" customHeight="1" x14ac:dyDescent="0.2">
      <c r="B55" t="s">
        <v>143</v>
      </c>
      <c r="C55" s="12">
        <v>71</v>
      </c>
      <c r="D55" s="8">
        <v>2.34</v>
      </c>
      <c r="E55" s="12">
        <v>2</v>
      </c>
      <c r="F55" s="8">
        <v>0.15</v>
      </c>
      <c r="G55" s="12">
        <v>68</v>
      </c>
      <c r="H55" s="8">
        <v>4.04</v>
      </c>
      <c r="I55" s="12">
        <v>1</v>
      </c>
    </row>
    <row r="56" spans="2:9" ht="15" customHeight="1" x14ac:dyDescent="0.2">
      <c r="B56" t="s">
        <v>136</v>
      </c>
      <c r="C56" s="12">
        <v>70</v>
      </c>
      <c r="D56" s="8">
        <v>2.31</v>
      </c>
      <c r="E56" s="12">
        <v>62</v>
      </c>
      <c r="F56" s="8">
        <v>4.6399999999999997</v>
      </c>
      <c r="G56" s="12">
        <v>8</v>
      </c>
      <c r="H56" s="8">
        <v>0.48</v>
      </c>
      <c r="I56" s="12">
        <v>0</v>
      </c>
    </row>
    <row r="57" spans="2:9" ht="15" customHeight="1" x14ac:dyDescent="0.2">
      <c r="B57" t="s">
        <v>130</v>
      </c>
      <c r="C57" s="12">
        <v>55</v>
      </c>
      <c r="D57" s="8">
        <v>1.82</v>
      </c>
      <c r="E57" s="12">
        <v>12</v>
      </c>
      <c r="F57" s="8">
        <v>0.9</v>
      </c>
      <c r="G57" s="12">
        <v>43</v>
      </c>
      <c r="H57" s="8">
        <v>2.5499999999999998</v>
      </c>
      <c r="I57" s="12">
        <v>0</v>
      </c>
    </row>
    <row r="58" spans="2:9" ht="15" customHeight="1" x14ac:dyDescent="0.2">
      <c r="B58" t="s">
        <v>134</v>
      </c>
      <c r="C58" s="12">
        <v>54</v>
      </c>
      <c r="D58" s="8">
        <v>1.78</v>
      </c>
      <c r="E58" s="12">
        <v>51</v>
      </c>
      <c r="F58" s="8">
        <v>3.81</v>
      </c>
      <c r="G58" s="12">
        <v>3</v>
      </c>
      <c r="H58" s="8">
        <v>0.18</v>
      </c>
      <c r="I58" s="12">
        <v>0</v>
      </c>
    </row>
    <row r="59" spans="2:9" ht="15" customHeight="1" x14ac:dyDescent="0.2">
      <c r="B59" t="s">
        <v>125</v>
      </c>
      <c r="C59" s="12">
        <v>53</v>
      </c>
      <c r="D59" s="8">
        <v>1.75</v>
      </c>
      <c r="E59" s="12">
        <v>29</v>
      </c>
      <c r="F59" s="8">
        <v>2.17</v>
      </c>
      <c r="G59" s="12">
        <v>24</v>
      </c>
      <c r="H59" s="8">
        <v>1.43</v>
      </c>
      <c r="I59" s="12">
        <v>0</v>
      </c>
    </row>
    <row r="60" spans="2:9" ht="15" customHeight="1" x14ac:dyDescent="0.2">
      <c r="B60" t="s">
        <v>137</v>
      </c>
      <c r="C60" s="12">
        <v>53</v>
      </c>
      <c r="D60" s="8">
        <v>1.75</v>
      </c>
      <c r="E60" s="12">
        <v>48</v>
      </c>
      <c r="F60" s="8">
        <v>3.59</v>
      </c>
      <c r="G60" s="12">
        <v>5</v>
      </c>
      <c r="H60" s="8">
        <v>0.3</v>
      </c>
      <c r="I60" s="12">
        <v>0</v>
      </c>
    </row>
    <row r="61" spans="2:9" ht="15" customHeight="1" x14ac:dyDescent="0.2">
      <c r="B61" t="s">
        <v>146</v>
      </c>
      <c r="C61" s="12">
        <v>50</v>
      </c>
      <c r="D61" s="8">
        <v>1.65</v>
      </c>
      <c r="E61" s="12">
        <v>17</v>
      </c>
      <c r="F61" s="8">
        <v>1.27</v>
      </c>
      <c r="G61" s="12">
        <v>33</v>
      </c>
      <c r="H61" s="8">
        <v>1.96</v>
      </c>
      <c r="I61" s="12">
        <v>0</v>
      </c>
    </row>
    <row r="62" spans="2:9" ht="15" customHeight="1" x14ac:dyDescent="0.2">
      <c r="B62" t="s">
        <v>139</v>
      </c>
      <c r="C62" s="12">
        <v>49</v>
      </c>
      <c r="D62" s="8">
        <v>1.62</v>
      </c>
      <c r="E62" s="12">
        <v>35</v>
      </c>
      <c r="F62" s="8">
        <v>2.62</v>
      </c>
      <c r="G62" s="12">
        <v>13</v>
      </c>
      <c r="H62" s="8">
        <v>0.77</v>
      </c>
      <c r="I62" s="12">
        <v>1</v>
      </c>
    </row>
    <row r="63" spans="2:9" ht="15" customHeight="1" x14ac:dyDescent="0.2">
      <c r="B63" t="s">
        <v>127</v>
      </c>
      <c r="C63" s="12">
        <v>46</v>
      </c>
      <c r="D63" s="8">
        <v>1.52</v>
      </c>
      <c r="E63" s="12">
        <v>27</v>
      </c>
      <c r="F63" s="8">
        <v>2.02</v>
      </c>
      <c r="G63" s="12">
        <v>19</v>
      </c>
      <c r="H63" s="8">
        <v>1.1299999999999999</v>
      </c>
      <c r="I63" s="12">
        <v>0</v>
      </c>
    </row>
    <row r="64" spans="2:9" ht="15" customHeight="1" x14ac:dyDescent="0.2">
      <c r="B64" t="s">
        <v>151</v>
      </c>
      <c r="C64" s="12">
        <v>43</v>
      </c>
      <c r="D64" s="8">
        <v>1.42</v>
      </c>
      <c r="E64" s="12">
        <v>24</v>
      </c>
      <c r="F64" s="8">
        <v>1.8</v>
      </c>
      <c r="G64" s="12">
        <v>19</v>
      </c>
      <c r="H64" s="8">
        <v>1.1299999999999999</v>
      </c>
      <c r="I64" s="12">
        <v>0</v>
      </c>
    </row>
    <row r="65" spans="2:9" ht="15" customHeight="1" x14ac:dyDescent="0.2">
      <c r="B65" t="s">
        <v>177</v>
      </c>
      <c r="C65" s="12">
        <v>42</v>
      </c>
      <c r="D65" s="8">
        <v>1.39</v>
      </c>
      <c r="E65" s="12">
        <v>2</v>
      </c>
      <c r="F65" s="8">
        <v>0.15</v>
      </c>
      <c r="G65" s="12">
        <v>40</v>
      </c>
      <c r="H65" s="8">
        <v>2.38</v>
      </c>
      <c r="I65" s="12">
        <v>0</v>
      </c>
    </row>
    <row r="66" spans="2:9" ht="15" customHeight="1" x14ac:dyDescent="0.2">
      <c r="B66" t="s">
        <v>126</v>
      </c>
      <c r="C66" s="12">
        <v>40</v>
      </c>
      <c r="D66" s="8">
        <v>1.32</v>
      </c>
      <c r="E66" s="12">
        <v>23</v>
      </c>
      <c r="F66" s="8">
        <v>1.72</v>
      </c>
      <c r="G66" s="12">
        <v>17</v>
      </c>
      <c r="H66" s="8">
        <v>1.01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30A7-EACF-427E-BE08-C9CDA9B05953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242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234</v>
      </c>
      <c r="D6" s="8">
        <v>13.36</v>
      </c>
      <c r="E6" s="12">
        <v>105</v>
      </c>
      <c r="F6" s="8">
        <v>10.44</v>
      </c>
      <c r="G6" s="12">
        <v>129</v>
      </c>
      <c r="H6" s="8">
        <v>17.53</v>
      </c>
      <c r="I6" s="12">
        <v>0</v>
      </c>
    </row>
    <row r="7" spans="2:9" ht="15" customHeight="1" x14ac:dyDescent="0.2">
      <c r="B7" t="s">
        <v>53</v>
      </c>
      <c r="C7" s="12">
        <v>311</v>
      </c>
      <c r="D7" s="8">
        <v>17.75</v>
      </c>
      <c r="E7" s="12">
        <v>148</v>
      </c>
      <c r="F7" s="8">
        <v>14.71</v>
      </c>
      <c r="G7" s="12">
        <v>163</v>
      </c>
      <c r="H7" s="8">
        <v>22.15</v>
      </c>
      <c r="I7" s="12">
        <v>0</v>
      </c>
    </row>
    <row r="8" spans="2:9" ht="15" customHeight="1" x14ac:dyDescent="0.2">
      <c r="B8" t="s">
        <v>54</v>
      </c>
      <c r="C8" s="12">
        <v>9</v>
      </c>
      <c r="D8" s="8">
        <v>0.51</v>
      </c>
      <c r="E8" s="12">
        <v>0</v>
      </c>
      <c r="F8" s="8">
        <v>0</v>
      </c>
      <c r="G8" s="12">
        <v>9</v>
      </c>
      <c r="H8" s="8">
        <v>1.22</v>
      </c>
      <c r="I8" s="12">
        <v>0</v>
      </c>
    </row>
    <row r="9" spans="2:9" ht="15" customHeight="1" x14ac:dyDescent="0.2">
      <c r="B9" t="s">
        <v>55</v>
      </c>
      <c r="C9" s="12">
        <v>10</v>
      </c>
      <c r="D9" s="8">
        <v>0.56999999999999995</v>
      </c>
      <c r="E9" s="12">
        <v>1</v>
      </c>
      <c r="F9" s="8">
        <v>0.1</v>
      </c>
      <c r="G9" s="12">
        <v>9</v>
      </c>
      <c r="H9" s="8">
        <v>1.22</v>
      </c>
      <c r="I9" s="12">
        <v>0</v>
      </c>
    </row>
    <row r="10" spans="2:9" ht="15" customHeight="1" x14ac:dyDescent="0.2">
      <c r="B10" t="s">
        <v>56</v>
      </c>
      <c r="C10" s="12">
        <v>23</v>
      </c>
      <c r="D10" s="8">
        <v>1.31</v>
      </c>
      <c r="E10" s="12">
        <v>2</v>
      </c>
      <c r="F10" s="8">
        <v>0.2</v>
      </c>
      <c r="G10" s="12">
        <v>21</v>
      </c>
      <c r="H10" s="8">
        <v>2.85</v>
      </c>
      <c r="I10" s="12">
        <v>0</v>
      </c>
    </row>
    <row r="11" spans="2:9" ht="15" customHeight="1" x14ac:dyDescent="0.2">
      <c r="B11" t="s">
        <v>57</v>
      </c>
      <c r="C11" s="12">
        <v>422</v>
      </c>
      <c r="D11" s="8">
        <v>24.09</v>
      </c>
      <c r="E11" s="12">
        <v>226</v>
      </c>
      <c r="F11" s="8">
        <v>22.47</v>
      </c>
      <c r="G11" s="12">
        <v>194</v>
      </c>
      <c r="H11" s="8">
        <v>26.36</v>
      </c>
      <c r="I11" s="12">
        <v>2</v>
      </c>
    </row>
    <row r="12" spans="2:9" ht="15" customHeight="1" x14ac:dyDescent="0.2">
      <c r="B12" t="s">
        <v>58</v>
      </c>
      <c r="C12" s="12">
        <v>12</v>
      </c>
      <c r="D12" s="8">
        <v>0.68</v>
      </c>
      <c r="E12" s="12">
        <v>1</v>
      </c>
      <c r="F12" s="8">
        <v>0.1</v>
      </c>
      <c r="G12" s="12">
        <v>11</v>
      </c>
      <c r="H12" s="8">
        <v>1.49</v>
      </c>
      <c r="I12" s="12">
        <v>0</v>
      </c>
    </row>
    <row r="13" spans="2:9" ht="15" customHeight="1" x14ac:dyDescent="0.2">
      <c r="B13" t="s">
        <v>59</v>
      </c>
      <c r="C13" s="12">
        <v>74</v>
      </c>
      <c r="D13" s="8">
        <v>4.22</v>
      </c>
      <c r="E13" s="12">
        <v>15</v>
      </c>
      <c r="F13" s="8">
        <v>1.49</v>
      </c>
      <c r="G13" s="12">
        <v>59</v>
      </c>
      <c r="H13" s="8">
        <v>8.02</v>
      </c>
      <c r="I13" s="12">
        <v>0</v>
      </c>
    </row>
    <row r="14" spans="2:9" ht="15" customHeight="1" x14ac:dyDescent="0.2">
      <c r="B14" t="s">
        <v>60</v>
      </c>
      <c r="C14" s="12">
        <v>54</v>
      </c>
      <c r="D14" s="8">
        <v>3.08</v>
      </c>
      <c r="E14" s="12">
        <v>37</v>
      </c>
      <c r="F14" s="8">
        <v>3.68</v>
      </c>
      <c r="G14" s="12">
        <v>17</v>
      </c>
      <c r="H14" s="8">
        <v>2.31</v>
      </c>
      <c r="I14" s="12">
        <v>0</v>
      </c>
    </row>
    <row r="15" spans="2:9" ht="15" customHeight="1" x14ac:dyDescent="0.2">
      <c r="B15" t="s">
        <v>61</v>
      </c>
      <c r="C15" s="12">
        <v>212</v>
      </c>
      <c r="D15" s="8">
        <v>12.1</v>
      </c>
      <c r="E15" s="12">
        <v>190</v>
      </c>
      <c r="F15" s="8">
        <v>18.89</v>
      </c>
      <c r="G15" s="12">
        <v>22</v>
      </c>
      <c r="H15" s="8">
        <v>2.99</v>
      </c>
      <c r="I15" s="12">
        <v>0</v>
      </c>
    </row>
    <row r="16" spans="2:9" ht="15" customHeight="1" x14ac:dyDescent="0.2">
      <c r="B16" t="s">
        <v>62</v>
      </c>
      <c r="C16" s="12">
        <v>192</v>
      </c>
      <c r="D16" s="8">
        <v>10.96</v>
      </c>
      <c r="E16" s="12">
        <v>157</v>
      </c>
      <c r="F16" s="8">
        <v>15.61</v>
      </c>
      <c r="G16" s="12">
        <v>34</v>
      </c>
      <c r="H16" s="8">
        <v>4.62</v>
      </c>
      <c r="I16" s="12">
        <v>0</v>
      </c>
    </row>
    <row r="17" spans="2:9" ht="15" customHeight="1" x14ac:dyDescent="0.2">
      <c r="B17" t="s">
        <v>63</v>
      </c>
      <c r="C17" s="12">
        <v>64</v>
      </c>
      <c r="D17" s="8">
        <v>3.65</v>
      </c>
      <c r="E17" s="12">
        <v>43</v>
      </c>
      <c r="F17" s="8">
        <v>4.2699999999999996</v>
      </c>
      <c r="G17" s="12">
        <v>18</v>
      </c>
      <c r="H17" s="8">
        <v>2.4500000000000002</v>
      </c>
      <c r="I17" s="12">
        <v>0</v>
      </c>
    </row>
    <row r="18" spans="2:9" ht="15" customHeight="1" x14ac:dyDescent="0.2">
      <c r="B18" t="s">
        <v>64</v>
      </c>
      <c r="C18" s="12">
        <v>73</v>
      </c>
      <c r="D18" s="8">
        <v>4.17</v>
      </c>
      <c r="E18" s="12">
        <v>45</v>
      </c>
      <c r="F18" s="8">
        <v>4.47</v>
      </c>
      <c r="G18" s="12">
        <v>26</v>
      </c>
      <c r="H18" s="8">
        <v>3.53</v>
      </c>
      <c r="I18" s="12">
        <v>0</v>
      </c>
    </row>
    <row r="19" spans="2:9" ht="15" customHeight="1" x14ac:dyDescent="0.2">
      <c r="B19" t="s">
        <v>65</v>
      </c>
      <c r="C19" s="12">
        <v>62</v>
      </c>
      <c r="D19" s="8">
        <v>3.54</v>
      </c>
      <c r="E19" s="12">
        <v>36</v>
      </c>
      <c r="F19" s="8">
        <v>3.58</v>
      </c>
      <c r="G19" s="12">
        <v>24</v>
      </c>
      <c r="H19" s="8">
        <v>3.26</v>
      </c>
      <c r="I19" s="12">
        <v>0</v>
      </c>
    </row>
    <row r="20" spans="2:9" ht="15" customHeight="1" x14ac:dyDescent="0.2">
      <c r="B20" s="9" t="s">
        <v>215</v>
      </c>
      <c r="C20" s="12">
        <f>SUM(LTBL_28215[総数／事業所数])</f>
        <v>1752</v>
      </c>
      <c r="E20" s="12">
        <f>SUBTOTAL(109,LTBL_28215[個人／事業所数])</f>
        <v>1006</v>
      </c>
      <c r="G20" s="12">
        <f>SUBTOTAL(109,LTBL_28215[法人／事業所数])</f>
        <v>736</v>
      </c>
      <c r="I20" s="12">
        <f>SUBTOTAL(109,LTBL_28215[法人以外の団体／事業所数])</f>
        <v>2</v>
      </c>
    </row>
    <row r="21" spans="2:9" ht="15" customHeight="1" x14ac:dyDescent="0.2">
      <c r="E21" s="11">
        <f>LTBL_28215[[#Totals],[個人／事業所数]]/LTBL_28215[[#Totals],[総数／事業所数]]</f>
        <v>0.57420091324200917</v>
      </c>
      <c r="G21" s="11">
        <f>LTBL_28215[[#Totals],[法人／事業所数]]/LTBL_28215[[#Totals],[総数／事業所数]]</f>
        <v>0.42009132420091322</v>
      </c>
      <c r="I21" s="11">
        <f>LTBL_28215[[#Totals],[法人以外の団体／事業所数]]/LTBL_28215[[#Totals],[総数／事業所数]]</f>
        <v>1.1415525114155251E-3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190</v>
      </c>
      <c r="D24" s="8">
        <v>10.84</v>
      </c>
      <c r="E24" s="12">
        <v>178</v>
      </c>
      <c r="F24" s="8">
        <v>17.690000000000001</v>
      </c>
      <c r="G24" s="12">
        <v>12</v>
      </c>
      <c r="H24" s="8">
        <v>1.63</v>
      </c>
      <c r="I24" s="12">
        <v>0</v>
      </c>
    </row>
    <row r="25" spans="2:9" ht="15" customHeight="1" x14ac:dyDescent="0.2">
      <c r="B25" t="s">
        <v>89</v>
      </c>
      <c r="C25" s="12">
        <v>166</v>
      </c>
      <c r="D25" s="8">
        <v>9.4700000000000006</v>
      </c>
      <c r="E25" s="12">
        <v>147</v>
      </c>
      <c r="F25" s="8">
        <v>14.61</v>
      </c>
      <c r="G25" s="12">
        <v>19</v>
      </c>
      <c r="H25" s="8">
        <v>2.58</v>
      </c>
      <c r="I25" s="12">
        <v>0</v>
      </c>
    </row>
    <row r="26" spans="2:9" ht="15" customHeight="1" x14ac:dyDescent="0.2">
      <c r="B26" t="s">
        <v>77</v>
      </c>
      <c r="C26" s="12">
        <v>146</v>
      </c>
      <c r="D26" s="8">
        <v>8.33</v>
      </c>
      <c r="E26" s="12">
        <v>81</v>
      </c>
      <c r="F26" s="8">
        <v>8.0500000000000007</v>
      </c>
      <c r="G26" s="12">
        <v>65</v>
      </c>
      <c r="H26" s="8">
        <v>8.83</v>
      </c>
      <c r="I26" s="12">
        <v>0</v>
      </c>
    </row>
    <row r="27" spans="2:9" ht="15" customHeight="1" x14ac:dyDescent="0.2">
      <c r="B27" t="s">
        <v>74</v>
      </c>
      <c r="C27" s="12">
        <v>129</v>
      </c>
      <c r="D27" s="8">
        <v>7.36</v>
      </c>
      <c r="E27" s="12">
        <v>46</v>
      </c>
      <c r="F27" s="8">
        <v>4.57</v>
      </c>
      <c r="G27" s="12">
        <v>83</v>
      </c>
      <c r="H27" s="8">
        <v>11.28</v>
      </c>
      <c r="I27" s="12">
        <v>0</v>
      </c>
    </row>
    <row r="28" spans="2:9" ht="15" customHeight="1" x14ac:dyDescent="0.2">
      <c r="B28" t="s">
        <v>83</v>
      </c>
      <c r="C28" s="12">
        <v>102</v>
      </c>
      <c r="D28" s="8">
        <v>5.82</v>
      </c>
      <c r="E28" s="12">
        <v>61</v>
      </c>
      <c r="F28" s="8">
        <v>6.06</v>
      </c>
      <c r="G28" s="12">
        <v>40</v>
      </c>
      <c r="H28" s="8">
        <v>5.43</v>
      </c>
      <c r="I28" s="12">
        <v>1</v>
      </c>
    </row>
    <row r="29" spans="2:9" ht="15" customHeight="1" x14ac:dyDescent="0.2">
      <c r="B29" t="s">
        <v>79</v>
      </c>
      <c r="C29" s="12">
        <v>64</v>
      </c>
      <c r="D29" s="8">
        <v>3.65</v>
      </c>
      <c r="E29" s="12">
        <v>32</v>
      </c>
      <c r="F29" s="8">
        <v>3.18</v>
      </c>
      <c r="G29" s="12">
        <v>32</v>
      </c>
      <c r="H29" s="8">
        <v>4.3499999999999996</v>
      </c>
      <c r="I29" s="12">
        <v>0</v>
      </c>
    </row>
    <row r="30" spans="2:9" ht="15" customHeight="1" x14ac:dyDescent="0.2">
      <c r="B30" t="s">
        <v>91</v>
      </c>
      <c r="C30" s="12">
        <v>64</v>
      </c>
      <c r="D30" s="8">
        <v>3.65</v>
      </c>
      <c r="E30" s="12">
        <v>43</v>
      </c>
      <c r="F30" s="8">
        <v>4.2699999999999996</v>
      </c>
      <c r="G30" s="12">
        <v>18</v>
      </c>
      <c r="H30" s="8">
        <v>2.4500000000000002</v>
      </c>
      <c r="I30" s="12">
        <v>0</v>
      </c>
    </row>
    <row r="31" spans="2:9" ht="15" customHeight="1" x14ac:dyDescent="0.2">
      <c r="B31" t="s">
        <v>82</v>
      </c>
      <c r="C31" s="12">
        <v>62</v>
      </c>
      <c r="D31" s="8">
        <v>3.54</v>
      </c>
      <c r="E31" s="12">
        <v>38</v>
      </c>
      <c r="F31" s="8">
        <v>3.78</v>
      </c>
      <c r="G31" s="12">
        <v>24</v>
      </c>
      <c r="H31" s="8">
        <v>3.26</v>
      </c>
      <c r="I31" s="12">
        <v>0</v>
      </c>
    </row>
    <row r="32" spans="2:9" ht="15" customHeight="1" x14ac:dyDescent="0.2">
      <c r="B32" t="s">
        <v>81</v>
      </c>
      <c r="C32" s="12">
        <v>59</v>
      </c>
      <c r="D32" s="8">
        <v>3.37</v>
      </c>
      <c r="E32" s="12">
        <v>48</v>
      </c>
      <c r="F32" s="8">
        <v>4.7699999999999996</v>
      </c>
      <c r="G32" s="12">
        <v>10</v>
      </c>
      <c r="H32" s="8">
        <v>1.36</v>
      </c>
      <c r="I32" s="12">
        <v>1</v>
      </c>
    </row>
    <row r="33" spans="2:9" ht="15" customHeight="1" x14ac:dyDescent="0.2">
      <c r="B33" t="s">
        <v>75</v>
      </c>
      <c r="C33" s="12">
        <v>55</v>
      </c>
      <c r="D33" s="8">
        <v>3.14</v>
      </c>
      <c r="E33" s="12">
        <v>32</v>
      </c>
      <c r="F33" s="8">
        <v>3.18</v>
      </c>
      <c r="G33" s="12">
        <v>23</v>
      </c>
      <c r="H33" s="8">
        <v>3.13</v>
      </c>
      <c r="I33" s="12">
        <v>0</v>
      </c>
    </row>
    <row r="34" spans="2:9" ht="15" customHeight="1" x14ac:dyDescent="0.2">
      <c r="B34" t="s">
        <v>76</v>
      </c>
      <c r="C34" s="12">
        <v>50</v>
      </c>
      <c r="D34" s="8">
        <v>2.85</v>
      </c>
      <c r="E34" s="12">
        <v>27</v>
      </c>
      <c r="F34" s="8">
        <v>2.68</v>
      </c>
      <c r="G34" s="12">
        <v>23</v>
      </c>
      <c r="H34" s="8">
        <v>3.13</v>
      </c>
      <c r="I34" s="12">
        <v>0</v>
      </c>
    </row>
    <row r="35" spans="2:9" ht="15" customHeight="1" x14ac:dyDescent="0.2">
      <c r="B35" t="s">
        <v>85</v>
      </c>
      <c r="C35" s="12">
        <v>49</v>
      </c>
      <c r="D35" s="8">
        <v>2.8</v>
      </c>
      <c r="E35" s="12">
        <v>8</v>
      </c>
      <c r="F35" s="8">
        <v>0.8</v>
      </c>
      <c r="G35" s="12">
        <v>41</v>
      </c>
      <c r="H35" s="8">
        <v>5.57</v>
      </c>
      <c r="I35" s="12">
        <v>0</v>
      </c>
    </row>
    <row r="36" spans="2:9" ht="15" customHeight="1" x14ac:dyDescent="0.2">
      <c r="B36" t="s">
        <v>92</v>
      </c>
      <c r="C36" s="12">
        <v>49</v>
      </c>
      <c r="D36" s="8">
        <v>2.8</v>
      </c>
      <c r="E36" s="12">
        <v>45</v>
      </c>
      <c r="F36" s="8">
        <v>4.47</v>
      </c>
      <c r="G36" s="12">
        <v>4</v>
      </c>
      <c r="H36" s="8">
        <v>0.54</v>
      </c>
      <c r="I36" s="12">
        <v>0</v>
      </c>
    </row>
    <row r="37" spans="2:9" ht="15" customHeight="1" x14ac:dyDescent="0.2">
      <c r="B37" t="s">
        <v>80</v>
      </c>
      <c r="C37" s="12">
        <v>39</v>
      </c>
      <c r="D37" s="8">
        <v>2.23</v>
      </c>
      <c r="E37" s="12">
        <v>24</v>
      </c>
      <c r="F37" s="8">
        <v>2.39</v>
      </c>
      <c r="G37" s="12">
        <v>15</v>
      </c>
      <c r="H37" s="8">
        <v>2.04</v>
      </c>
      <c r="I37" s="12">
        <v>0</v>
      </c>
    </row>
    <row r="38" spans="2:9" ht="15" customHeight="1" x14ac:dyDescent="0.2">
      <c r="B38" t="s">
        <v>78</v>
      </c>
      <c r="C38" s="12">
        <v>34</v>
      </c>
      <c r="D38" s="8">
        <v>1.94</v>
      </c>
      <c r="E38" s="12">
        <v>9</v>
      </c>
      <c r="F38" s="8">
        <v>0.89</v>
      </c>
      <c r="G38" s="12">
        <v>25</v>
      </c>
      <c r="H38" s="8">
        <v>3.4</v>
      </c>
      <c r="I38" s="12">
        <v>0</v>
      </c>
    </row>
    <row r="39" spans="2:9" ht="15" customHeight="1" x14ac:dyDescent="0.2">
      <c r="B39" t="s">
        <v>104</v>
      </c>
      <c r="C39" s="12">
        <v>31</v>
      </c>
      <c r="D39" s="8">
        <v>1.77</v>
      </c>
      <c r="E39" s="12">
        <v>27</v>
      </c>
      <c r="F39" s="8">
        <v>2.68</v>
      </c>
      <c r="G39" s="12">
        <v>4</v>
      </c>
      <c r="H39" s="8">
        <v>0.54</v>
      </c>
      <c r="I39" s="12">
        <v>0</v>
      </c>
    </row>
    <row r="40" spans="2:9" ht="15" customHeight="1" x14ac:dyDescent="0.2">
      <c r="B40" t="s">
        <v>86</v>
      </c>
      <c r="C40" s="12">
        <v>29</v>
      </c>
      <c r="D40" s="8">
        <v>1.66</v>
      </c>
      <c r="E40" s="12">
        <v>21</v>
      </c>
      <c r="F40" s="8">
        <v>2.09</v>
      </c>
      <c r="G40" s="12">
        <v>8</v>
      </c>
      <c r="H40" s="8">
        <v>1.0900000000000001</v>
      </c>
      <c r="I40" s="12">
        <v>0</v>
      </c>
    </row>
    <row r="41" spans="2:9" ht="15" customHeight="1" x14ac:dyDescent="0.2">
      <c r="B41" t="s">
        <v>100</v>
      </c>
      <c r="C41" s="12">
        <v>26</v>
      </c>
      <c r="D41" s="8">
        <v>1.48</v>
      </c>
      <c r="E41" s="12">
        <v>12</v>
      </c>
      <c r="F41" s="8">
        <v>1.19</v>
      </c>
      <c r="G41" s="12">
        <v>14</v>
      </c>
      <c r="H41" s="8">
        <v>1.9</v>
      </c>
      <c r="I41" s="12">
        <v>0</v>
      </c>
    </row>
    <row r="42" spans="2:9" ht="15" customHeight="1" x14ac:dyDescent="0.2">
      <c r="B42" t="s">
        <v>112</v>
      </c>
      <c r="C42" s="12">
        <v>25</v>
      </c>
      <c r="D42" s="8">
        <v>1.43</v>
      </c>
      <c r="E42" s="12">
        <v>15</v>
      </c>
      <c r="F42" s="8">
        <v>1.49</v>
      </c>
      <c r="G42" s="12">
        <v>10</v>
      </c>
      <c r="H42" s="8">
        <v>1.36</v>
      </c>
      <c r="I42" s="12">
        <v>0</v>
      </c>
    </row>
    <row r="43" spans="2:9" ht="15" customHeight="1" x14ac:dyDescent="0.2">
      <c r="B43" t="s">
        <v>97</v>
      </c>
      <c r="C43" s="12">
        <v>24</v>
      </c>
      <c r="D43" s="8">
        <v>1.37</v>
      </c>
      <c r="E43" s="12">
        <v>8</v>
      </c>
      <c r="F43" s="8">
        <v>0.8</v>
      </c>
      <c r="G43" s="12">
        <v>16</v>
      </c>
      <c r="H43" s="8">
        <v>2.17</v>
      </c>
      <c r="I43" s="12">
        <v>0</v>
      </c>
    </row>
    <row r="44" spans="2:9" ht="15" customHeight="1" x14ac:dyDescent="0.2">
      <c r="B44" t="s">
        <v>101</v>
      </c>
      <c r="C44" s="12">
        <v>24</v>
      </c>
      <c r="D44" s="8">
        <v>1.37</v>
      </c>
      <c r="E44" s="12">
        <v>4</v>
      </c>
      <c r="F44" s="8">
        <v>0.4</v>
      </c>
      <c r="G44" s="12">
        <v>20</v>
      </c>
      <c r="H44" s="8">
        <v>2.72</v>
      </c>
      <c r="I44" s="12">
        <v>0</v>
      </c>
    </row>
    <row r="45" spans="2:9" ht="15" customHeight="1" x14ac:dyDescent="0.2">
      <c r="B45" t="s">
        <v>87</v>
      </c>
      <c r="C45" s="12">
        <v>24</v>
      </c>
      <c r="D45" s="8">
        <v>1.37</v>
      </c>
      <c r="E45" s="12">
        <v>16</v>
      </c>
      <c r="F45" s="8">
        <v>1.59</v>
      </c>
      <c r="G45" s="12">
        <v>8</v>
      </c>
      <c r="H45" s="8">
        <v>1.0900000000000001</v>
      </c>
      <c r="I45" s="12">
        <v>0</v>
      </c>
    </row>
    <row r="46" spans="2:9" ht="15" customHeight="1" x14ac:dyDescent="0.2">
      <c r="B46" t="s">
        <v>93</v>
      </c>
      <c r="C46" s="12">
        <v>24</v>
      </c>
      <c r="D46" s="8">
        <v>1.37</v>
      </c>
      <c r="E46" s="12">
        <v>0</v>
      </c>
      <c r="F46" s="8">
        <v>0</v>
      </c>
      <c r="G46" s="12">
        <v>22</v>
      </c>
      <c r="H46" s="8">
        <v>2.99</v>
      </c>
      <c r="I46" s="12">
        <v>0</v>
      </c>
    </row>
    <row r="49" spans="2:9" ht="33" customHeight="1" x14ac:dyDescent="0.2">
      <c r="B49" t="s">
        <v>217</v>
      </c>
      <c r="C49" s="10" t="s">
        <v>67</v>
      </c>
      <c r="D49" s="10" t="s">
        <v>68</v>
      </c>
      <c r="E49" s="10" t="s">
        <v>69</v>
      </c>
      <c r="F49" s="10" t="s">
        <v>70</v>
      </c>
      <c r="G49" s="10" t="s">
        <v>71</v>
      </c>
      <c r="H49" s="10" t="s">
        <v>72</v>
      </c>
      <c r="I49" s="10" t="s">
        <v>73</v>
      </c>
    </row>
    <row r="50" spans="2:9" ht="15" customHeight="1" x14ac:dyDescent="0.2">
      <c r="B50" t="s">
        <v>178</v>
      </c>
      <c r="C50" s="12">
        <v>101</v>
      </c>
      <c r="D50" s="8">
        <v>5.76</v>
      </c>
      <c r="E50" s="12">
        <v>67</v>
      </c>
      <c r="F50" s="8">
        <v>6.66</v>
      </c>
      <c r="G50" s="12">
        <v>34</v>
      </c>
      <c r="H50" s="8">
        <v>4.62</v>
      </c>
      <c r="I50" s="12">
        <v>0</v>
      </c>
    </row>
    <row r="51" spans="2:9" ht="15" customHeight="1" x14ac:dyDescent="0.2">
      <c r="B51" t="s">
        <v>138</v>
      </c>
      <c r="C51" s="12">
        <v>82</v>
      </c>
      <c r="D51" s="8">
        <v>4.68</v>
      </c>
      <c r="E51" s="12">
        <v>79</v>
      </c>
      <c r="F51" s="8">
        <v>7.85</v>
      </c>
      <c r="G51" s="12">
        <v>3</v>
      </c>
      <c r="H51" s="8">
        <v>0.41</v>
      </c>
      <c r="I51" s="12">
        <v>0</v>
      </c>
    </row>
    <row r="52" spans="2:9" ht="15" customHeight="1" x14ac:dyDescent="0.2">
      <c r="B52" t="s">
        <v>160</v>
      </c>
      <c r="C52" s="12">
        <v>56</v>
      </c>
      <c r="D52" s="8">
        <v>3.2</v>
      </c>
      <c r="E52" s="12">
        <v>29</v>
      </c>
      <c r="F52" s="8">
        <v>2.88</v>
      </c>
      <c r="G52" s="12">
        <v>27</v>
      </c>
      <c r="H52" s="8">
        <v>3.67</v>
      </c>
      <c r="I52" s="12">
        <v>0</v>
      </c>
    </row>
    <row r="53" spans="2:9" ht="15" customHeight="1" x14ac:dyDescent="0.2">
      <c r="B53" t="s">
        <v>137</v>
      </c>
      <c r="C53" s="12">
        <v>55</v>
      </c>
      <c r="D53" s="8">
        <v>3.14</v>
      </c>
      <c r="E53" s="12">
        <v>54</v>
      </c>
      <c r="F53" s="8">
        <v>5.37</v>
      </c>
      <c r="G53" s="12">
        <v>1</v>
      </c>
      <c r="H53" s="8">
        <v>0.14000000000000001</v>
      </c>
      <c r="I53" s="12">
        <v>0</v>
      </c>
    </row>
    <row r="54" spans="2:9" ht="15" customHeight="1" x14ac:dyDescent="0.2">
      <c r="B54" t="s">
        <v>136</v>
      </c>
      <c r="C54" s="12">
        <v>54</v>
      </c>
      <c r="D54" s="8">
        <v>3.08</v>
      </c>
      <c r="E54" s="12">
        <v>52</v>
      </c>
      <c r="F54" s="8">
        <v>5.17</v>
      </c>
      <c r="G54" s="12">
        <v>2</v>
      </c>
      <c r="H54" s="8">
        <v>0.27</v>
      </c>
      <c r="I54" s="12">
        <v>0</v>
      </c>
    </row>
    <row r="55" spans="2:9" ht="15" customHeight="1" x14ac:dyDescent="0.2">
      <c r="B55" t="s">
        <v>122</v>
      </c>
      <c r="C55" s="12">
        <v>50</v>
      </c>
      <c r="D55" s="8">
        <v>2.85</v>
      </c>
      <c r="E55" s="12">
        <v>13</v>
      </c>
      <c r="F55" s="8">
        <v>1.29</v>
      </c>
      <c r="G55" s="12">
        <v>37</v>
      </c>
      <c r="H55" s="8">
        <v>5.03</v>
      </c>
      <c r="I55" s="12">
        <v>0</v>
      </c>
    </row>
    <row r="56" spans="2:9" ht="15" customHeight="1" x14ac:dyDescent="0.2">
      <c r="B56" t="s">
        <v>133</v>
      </c>
      <c r="C56" s="12">
        <v>48</v>
      </c>
      <c r="D56" s="8">
        <v>2.74</v>
      </c>
      <c r="E56" s="12">
        <v>44</v>
      </c>
      <c r="F56" s="8">
        <v>4.37</v>
      </c>
      <c r="G56" s="12">
        <v>4</v>
      </c>
      <c r="H56" s="8">
        <v>0.54</v>
      </c>
      <c r="I56" s="12">
        <v>0</v>
      </c>
    </row>
    <row r="57" spans="2:9" ht="15" customHeight="1" x14ac:dyDescent="0.2">
      <c r="B57" t="s">
        <v>127</v>
      </c>
      <c r="C57" s="12">
        <v>42</v>
      </c>
      <c r="D57" s="8">
        <v>2.4</v>
      </c>
      <c r="E57" s="12">
        <v>23</v>
      </c>
      <c r="F57" s="8">
        <v>2.29</v>
      </c>
      <c r="G57" s="12">
        <v>19</v>
      </c>
      <c r="H57" s="8">
        <v>2.58</v>
      </c>
      <c r="I57" s="12">
        <v>0</v>
      </c>
    </row>
    <row r="58" spans="2:9" ht="15" customHeight="1" x14ac:dyDescent="0.2">
      <c r="B58" t="s">
        <v>140</v>
      </c>
      <c r="C58" s="12">
        <v>34</v>
      </c>
      <c r="D58" s="8">
        <v>1.94</v>
      </c>
      <c r="E58" s="12">
        <v>26</v>
      </c>
      <c r="F58" s="8">
        <v>2.58</v>
      </c>
      <c r="G58" s="12">
        <v>8</v>
      </c>
      <c r="H58" s="8">
        <v>1.0900000000000001</v>
      </c>
      <c r="I58" s="12">
        <v>0</v>
      </c>
    </row>
    <row r="59" spans="2:9" ht="15" customHeight="1" x14ac:dyDescent="0.2">
      <c r="B59" t="s">
        <v>123</v>
      </c>
      <c r="C59" s="12">
        <v>33</v>
      </c>
      <c r="D59" s="8">
        <v>1.88</v>
      </c>
      <c r="E59" s="12">
        <v>14</v>
      </c>
      <c r="F59" s="8">
        <v>1.39</v>
      </c>
      <c r="G59" s="12">
        <v>19</v>
      </c>
      <c r="H59" s="8">
        <v>2.58</v>
      </c>
      <c r="I59" s="12">
        <v>0</v>
      </c>
    </row>
    <row r="60" spans="2:9" ht="15" customHeight="1" x14ac:dyDescent="0.2">
      <c r="B60" t="s">
        <v>129</v>
      </c>
      <c r="C60" s="12">
        <v>31</v>
      </c>
      <c r="D60" s="8">
        <v>1.77</v>
      </c>
      <c r="E60" s="12">
        <v>17</v>
      </c>
      <c r="F60" s="8">
        <v>1.69</v>
      </c>
      <c r="G60" s="12">
        <v>14</v>
      </c>
      <c r="H60" s="8">
        <v>1.9</v>
      </c>
      <c r="I60" s="12">
        <v>0</v>
      </c>
    </row>
    <row r="61" spans="2:9" ht="15" customHeight="1" x14ac:dyDescent="0.2">
      <c r="B61" t="s">
        <v>165</v>
      </c>
      <c r="C61" s="12">
        <v>31</v>
      </c>
      <c r="D61" s="8">
        <v>1.77</v>
      </c>
      <c r="E61" s="12">
        <v>27</v>
      </c>
      <c r="F61" s="8">
        <v>2.68</v>
      </c>
      <c r="G61" s="12">
        <v>4</v>
      </c>
      <c r="H61" s="8">
        <v>0.54</v>
      </c>
      <c r="I61" s="12">
        <v>0</v>
      </c>
    </row>
    <row r="62" spans="2:9" ht="15" customHeight="1" x14ac:dyDescent="0.2">
      <c r="B62" t="s">
        <v>141</v>
      </c>
      <c r="C62" s="12">
        <v>30</v>
      </c>
      <c r="D62" s="8">
        <v>1.71</v>
      </c>
      <c r="E62" s="12">
        <v>27</v>
      </c>
      <c r="F62" s="8">
        <v>2.68</v>
      </c>
      <c r="G62" s="12">
        <v>3</v>
      </c>
      <c r="H62" s="8">
        <v>0.41</v>
      </c>
      <c r="I62" s="12">
        <v>0</v>
      </c>
    </row>
    <row r="63" spans="2:9" ht="15" customHeight="1" x14ac:dyDescent="0.2">
      <c r="B63" t="s">
        <v>132</v>
      </c>
      <c r="C63" s="12">
        <v>26</v>
      </c>
      <c r="D63" s="8">
        <v>1.48</v>
      </c>
      <c r="E63" s="12">
        <v>3</v>
      </c>
      <c r="F63" s="8">
        <v>0.3</v>
      </c>
      <c r="G63" s="12">
        <v>23</v>
      </c>
      <c r="H63" s="8">
        <v>3.13</v>
      </c>
      <c r="I63" s="12">
        <v>0</v>
      </c>
    </row>
    <row r="64" spans="2:9" ht="15" customHeight="1" x14ac:dyDescent="0.2">
      <c r="B64" t="s">
        <v>126</v>
      </c>
      <c r="C64" s="12">
        <v>25</v>
      </c>
      <c r="D64" s="8">
        <v>1.43</v>
      </c>
      <c r="E64" s="12">
        <v>20</v>
      </c>
      <c r="F64" s="8">
        <v>1.99</v>
      </c>
      <c r="G64" s="12">
        <v>4</v>
      </c>
      <c r="H64" s="8">
        <v>0.54</v>
      </c>
      <c r="I64" s="12">
        <v>1</v>
      </c>
    </row>
    <row r="65" spans="2:9" ht="15" customHeight="1" x14ac:dyDescent="0.2">
      <c r="B65" t="s">
        <v>134</v>
      </c>
      <c r="C65" s="12">
        <v>25</v>
      </c>
      <c r="D65" s="8">
        <v>1.43</v>
      </c>
      <c r="E65" s="12">
        <v>23</v>
      </c>
      <c r="F65" s="8">
        <v>2.29</v>
      </c>
      <c r="G65" s="12">
        <v>2</v>
      </c>
      <c r="H65" s="8">
        <v>0.27</v>
      </c>
      <c r="I65" s="12">
        <v>0</v>
      </c>
    </row>
    <row r="66" spans="2:9" ht="15" customHeight="1" x14ac:dyDescent="0.2">
      <c r="B66" t="s">
        <v>159</v>
      </c>
      <c r="C66" s="12">
        <v>24</v>
      </c>
      <c r="D66" s="8">
        <v>1.37</v>
      </c>
      <c r="E66" s="12">
        <v>15</v>
      </c>
      <c r="F66" s="8">
        <v>1.49</v>
      </c>
      <c r="G66" s="12">
        <v>9</v>
      </c>
      <c r="H66" s="8">
        <v>1.22</v>
      </c>
      <c r="I66" s="12">
        <v>0</v>
      </c>
    </row>
    <row r="67" spans="2:9" ht="15" customHeight="1" x14ac:dyDescent="0.2">
      <c r="B67" t="s">
        <v>169</v>
      </c>
      <c r="C67" s="12">
        <v>23</v>
      </c>
      <c r="D67" s="8">
        <v>1.31</v>
      </c>
      <c r="E67" s="12">
        <v>15</v>
      </c>
      <c r="F67" s="8">
        <v>1.49</v>
      </c>
      <c r="G67" s="12">
        <v>8</v>
      </c>
      <c r="H67" s="8">
        <v>1.0900000000000001</v>
      </c>
      <c r="I67" s="12">
        <v>0</v>
      </c>
    </row>
    <row r="68" spans="2:9" ht="15" customHeight="1" x14ac:dyDescent="0.2">
      <c r="B68" t="s">
        <v>139</v>
      </c>
      <c r="C68" s="12">
        <v>23</v>
      </c>
      <c r="D68" s="8">
        <v>1.31</v>
      </c>
      <c r="E68" s="12">
        <v>17</v>
      </c>
      <c r="F68" s="8">
        <v>1.69</v>
      </c>
      <c r="G68" s="12">
        <v>6</v>
      </c>
      <c r="H68" s="8">
        <v>0.82</v>
      </c>
      <c r="I68" s="12">
        <v>0</v>
      </c>
    </row>
    <row r="69" spans="2:9" ht="15" customHeight="1" x14ac:dyDescent="0.2">
      <c r="B69" t="s">
        <v>124</v>
      </c>
      <c r="C69" s="12">
        <v>21</v>
      </c>
      <c r="D69" s="8">
        <v>1.2</v>
      </c>
      <c r="E69" s="12">
        <v>11</v>
      </c>
      <c r="F69" s="8">
        <v>1.0900000000000001</v>
      </c>
      <c r="G69" s="12">
        <v>10</v>
      </c>
      <c r="H69" s="8">
        <v>1.36</v>
      </c>
      <c r="I69" s="12">
        <v>0</v>
      </c>
    </row>
    <row r="70" spans="2:9" ht="15" customHeight="1" x14ac:dyDescent="0.2">
      <c r="B70" t="s">
        <v>135</v>
      </c>
      <c r="C70" s="12">
        <v>21</v>
      </c>
      <c r="D70" s="8">
        <v>1.2</v>
      </c>
      <c r="E70" s="12">
        <v>21</v>
      </c>
      <c r="F70" s="8">
        <v>2.09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37CFF-B60F-4D60-9388-F7670A1D3BF0}">
  <sheetPr>
    <pageSetUpPr fitToPage="1"/>
  </sheetPr>
  <dimension ref="A1:I1154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120</v>
      </c>
      <c r="B1" s="3" t="s">
        <v>121</v>
      </c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7" t="s">
        <v>72</v>
      </c>
      <c r="I1" s="7" t="s">
        <v>73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88</v>
      </c>
      <c r="C3" s="4">
        <v>13984</v>
      </c>
      <c r="D3" s="8">
        <v>12.11</v>
      </c>
      <c r="E3" s="4">
        <v>12553</v>
      </c>
      <c r="F3" s="8">
        <v>20.94</v>
      </c>
      <c r="G3" s="4">
        <v>1422</v>
      </c>
      <c r="H3" s="8">
        <v>2.61</v>
      </c>
      <c r="I3" s="4">
        <v>9</v>
      </c>
    </row>
    <row r="4" spans="1:9" x14ac:dyDescent="0.2">
      <c r="A4" s="2">
        <v>2</v>
      </c>
      <c r="B4" s="1" t="s">
        <v>89</v>
      </c>
      <c r="C4" s="4">
        <v>10701</v>
      </c>
      <c r="D4" s="8">
        <v>9.27</v>
      </c>
      <c r="E4" s="4">
        <v>8905</v>
      </c>
      <c r="F4" s="8">
        <v>14.85</v>
      </c>
      <c r="G4" s="4">
        <v>1796</v>
      </c>
      <c r="H4" s="8">
        <v>3.29</v>
      </c>
      <c r="I4" s="4">
        <v>0</v>
      </c>
    </row>
    <row r="5" spans="1:9" x14ac:dyDescent="0.2">
      <c r="A5" s="2">
        <v>3</v>
      </c>
      <c r="B5" s="1" t="s">
        <v>85</v>
      </c>
      <c r="C5" s="4">
        <v>9152</v>
      </c>
      <c r="D5" s="8">
        <v>7.92</v>
      </c>
      <c r="E5" s="4">
        <v>2728</v>
      </c>
      <c r="F5" s="8">
        <v>4.55</v>
      </c>
      <c r="G5" s="4">
        <v>6393</v>
      </c>
      <c r="H5" s="8">
        <v>11.73</v>
      </c>
      <c r="I5" s="4">
        <v>26</v>
      </c>
    </row>
    <row r="6" spans="1:9" x14ac:dyDescent="0.2">
      <c r="A6" s="2">
        <v>4</v>
      </c>
      <c r="B6" s="1" t="s">
        <v>83</v>
      </c>
      <c r="C6" s="4">
        <v>7320</v>
      </c>
      <c r="D6" s="8">
        <v>6.34</v>
      </c>
      <c r="E6" s="4">
        <v>3970</v>
      </c>
      <c r="F6" s="8">
        <v>6.62</v>
      </c>
      <c r="G6" s="4">
        <v>3339</v>
      </c>
      <c r="H6" s="8">
        <v>6.13</v>
      </c>
      <c r="I6" s="4">
        <v>11</v>
      </c>
    </row>
    <row r="7" spans="1:9" x14ac:dyDescent="0.2">
      <c r="A7" s="2">
        <v>5</v>
      </c>
      <c r="B7" s="1" t="s">
        <v>74</v>
      </c>
      <c r="C7" s="4">
        <v>6501</v>
      </c>
      <c r="D7" s="8">
        <v>5.63</v>
      </c>
      <c r="E7" s="4">
        <v>1638</v>
      </c>
      <c r="F7" s="8">
        <v>2.73</v>
      </c>
      <c r="G7" s="4">
        <v>4862</v>
      </c>
      <c r="H7" s="8">
        <v>8.92</v>
      </c>
      <c r="I7" s="4">
        <v>1</v>
      </c>
    </row>
    <row r="8" spans="1:9" x14ac:dyDescent="0.2">
      <c r="A8" s="2">
        <v>6</v>
      </c>
      <c r="B8" s="1" t="s">
        <v>81</v>
      </c>
      <c r="C8" s="4">
        <v>5109</v>
      </c>
      <c r="D8" s="8">
        <v>4.42</v>
      </c>
      <c r="E8" s="4">
        <v>3646</v>
      </c>
      <c r="F8" s="8">
        <v>6.08</v>
      </c>
      <c r="G8" s="4">
        <v>1451</v>
      </c>
      <c r="H8" s="8">
        <v>2.66</v>
      </c>
      <c r="I8" s="4">
        <v>12</v>
      </c>
    </row>
    <row r="9" spans="1:9" x14ac:dyDescent="0.2">
      <c r="A9" s="2">
        <v>7</v>
      </c>
      <c r="B9" s="1" t="s">
        <v>91</v>
      </c>
      <c r="C9" s="4">
        <v>4955</v>
      </c>
      <c r="D9" s="8">
        <v>4.29</v>
      </c>
      <c r="E9" s="4">
        <v>3313</v>
      </c>
      <c r="F9" s="8">
        <v>5.53</v>
      </c>
      <c r="G9" s="4">
        <v>1290</v>
      </c>
      <c r="H9" s="8">
        <v>2.37</v>
      </c>
      <c r="I9" s="4">
        <v>30</v>
      </c>
    </row>
    <row r="10" spans="1:9" x14ac:dyDescent="0.2">
      <c r="A10" s="2">
        <v>8</v>
      </c>
      <c r="B10" s="1" t="s">
        <v>86</v>
      </c>
      <c r="C10" s="4">
        <v>4031</v>
      </c>
      <c r="D10" s="8">
        <v>3.49</v>
      </c>
      <c r="E10" s="4">
        <v>2474</v>
      </c>
      <c r="F10" s="8">
        <v>4.13</v>
      </c>
      <c r="G10" s="4">
        <v>1549</v>
      </c>
      <c r="H10" s="8">
        <v>2.84</v>
      </c>
      <c r="I10" s="4">
        <v>8</v>
      </c>
    </row>
    <row r="11" spans="1:9" x14ac:dyDescent="0.2">
      <c r="A11" s="2">
        <v>9</v>
      </c>
      <c r="B11" s="1" t="s">
        <v>92</v>
      </c>
      <c r="C11" s="4">
        <v>3957</v>
      </c>
      <c r="D11" s="8">
        <v>3.43</v>
      </c>
      <c r="E11" s="4">
        <v>3466</v>
      </c>
      <c r="F11" s="8">
        <v>5.78</v>
      </c>
      <c r="G11" s="4">
        <v>487</v>
      </c>
      <c r="H11" s="8">
        <v>0.89</v>
      </c>
      <c r="I11" s="4">
        <v>2</v>
      </c>
    </row>
    <row r="12" spans="1:9" x14ac:dyDescent="0.2">
      <c r="A12" s="2">
        <v>10</v>
      </c>
      <c r="B12" s="1" t="s">
        <v>75</v>
      </c>
      <c r="C12" s="4">
        <v>3710</v>
      </c>
      <c r="D12" s="8">
        <v>3.21</v>
      </c>
      <c r="E12" s="4">
        <v>1559</v>
      </c>
      <c r="F12" s="8">
        <v>2.6</v>
      </c>
      <c r="G12" s="4">
        <v>2150</v>
      </c>
      <c r="H12" s="8">
        <v>3.94</v>
      </c>
      <c r="I12" s="4">
        <v>1</v>
      </c>
    </row>
    <row r="13" spans="1:9" x14ac:dyDescent="0.2">
      <c r="A13" s="2">
        <v>11</v>
      </c>
      <c r="B13" s="1" t="s">
        <v>76</v>
      </c>
      <c r="C13" s="4">
        <v>3621</v>
      </c>
      <c r="D13" s="8">
        <v>3.14</v>
      </c>
      <c r="E13" s="4">
        <v>1023</v>
      </c>
      <c r="F13" s="8">
        <v>1.71</v>
      </c>
      <c r="G13" s="4">
        <v>2598</v>
      </c>
      <c r="H13" s="8">
        <v>4.7699999999999996</v>
      </c>
      <c r="I13" s="4">
        <v>0</v>
      </c>
    </row>
    <row r="14" spans="1:9" x14ac:dyDescent="0.2">
      <c r="A14" s="2">
        <v>12</v>
      </c>
      <c r="B14" s="1" t="s">
        <v>80</v>
      </c>
      <c r="C14" s="4">
        <v>3488</v>
      </c>
      <c r="D14" s="8">
        <v>3.02</v>
      </c>
      <c r="E14" s="4">
        <v>1754</v>
      </c>
      <c r="F14" s="8">
        <v>2.93</v>
      </c>
      <c r="G14" s="4">
        <v>1733</v>
      </c>
      <c r="H14" s="8">
        <v>3.18</v>
      </c>
      <c r="I14" s="4">
        <v>1</v>
      </c>
    </row>
    <row r="15" spans="1:9" x14ac:dyDescent="0.2">
      <c r="A15" s="2">
        <v>13</v>
      </c>
      <c r="B15" s="1" t="s">
        <v>82</v>
      </c>
      <c r="C15" s="4">
        <v>3275</v>
      </c>
      <c r="D15" s="8">
        <v>2.84</v>
      </c>
      <c r="E15" s="4">
        <v>2042</v>
      </c>
      <c r="F15" s="8">
        <v>3.41</v>
      </c>
      <c r="G15" s="4">
        <v>1233</v>
      </c>
      <c r="H15" s="8">
        <v>2.2599999999999998</v>
      </c>
      <c r="I15" s="4">
        <v>0</v>
      </c>
    </row>
    <row r="16" spans="1:9" x14ac:dyDescent="0.2">
      <c r="A16" s="2">
        <v>14</v>
      </c>
      <c r="B16" s="1" t="s">
        <v>87</v>
      </c>
      <c r="C16" s="4">
        <v>2307</v>
      </c>
      <c r="D16" s="8">
        <v>2</v>
      </c>
      <c r="E16" s="4">
        <v>942</v>
      </c>
      <c r="F16" s="8">
        <v>1.57</v>
      </c>
      <c r="G16" s="4">
        <v>1351</v>
      </c>
      <c r="H16" s="8">
        <v>2.48</v>
      </c>
      <c r="I16" s="4">
        <v>0</v>
      </c>
    </row>
    <row r="17" spans="1:9" x14ac:dyDescent="0.2">
      <c r="A17" s="2">
        <v>15</v>
      </c>
      <c r="B17" s="1" t="s">
        <v>84</v>
      </c>
      <c r="C17" s="4">
        <v>2225</v>
      </c>
      <c r="D17" s="8">
        <v>1.93</v>
      </c>
      <c r="E17" s="4">
        <v>375</v>
      </c>
      <c r="F17" s="8">
        <v>0.63</v>
      </c>
      <c r="G17" s="4">
        <v>1850</v>
      </c>
      <c r="H17" s="8">
        <v>3.39</v>
      </c>
      <c r="I17" s="4">
        <v>0</v>
      </c>
    </row>
    <row r="18" spans="1:9" x14ac:dyDescent="0.2">
      <c r="A18" s="2">
        <v>16</v>
      </c>
      <c r="B18" s="1" t="s">
        <v>93</v>
      </c>
      <c r="C18" s="4">
        <v>1879</v>
      </c>
      <c r="D18" s="8">
        <v>1.63</v>
      </c>
      <c r="E18" s="4">
        <v>31</v>
      </c>
      <c r="F18" s="8">
        <v>0.05</v>
      </c>
      <c r="G18" s="4">
        <v>1563</v>
      </c>
      <c r="H18" s="8">
        <v>2.87</v>
      </c>
      <c r="I18" s="4">
        <v>8</v>
      </c>
    </row>
    <row r="19" spans="1:9" x14ac:dyDescent="0.2">
      <c r="A19" s="2">
        <v>17</v>
      </c>
      <c r="B19" s="1" t="s">
        <v>79</v>
      </c>
      <c r="C19" s="4">
        <v>1585</v>
      </c>
      <c r="D19" s="8">
        <v>1.37</v>
      </c>
      <c r="E19" s="4">
        <v>363</v>
      </c>
      <c r="F19" s="8">
        <v>0.61</v>
      </c>
      <c r="G19" s="4">
        <v>1217</v>
      </c>
      <c r="H19" s="8">
        <v>2.23</v>
      </c>
      <c r="I19" s="4">
        <v>5</v>
      </c>
    </row>
    <row r="20" spans="1:9" x14ac:dyDescent="0.2">
      <c r="A20" s="2">
        <v>18</v>
      </c>
      <c r="B20" s="1" t="s">
        <v>77</v>
      </c>
      <c r="C20" s="4">
        <v>1567</v>
      </c>
      <c r="D20" s="8">
        <v>1.36</v>
      </c>
      <c r="E20" s="4">
        <v>639</v>
      </c>
      <c r="F20" s="8">
        <v>1.07</v>
      </c>
      <c r="G20" s="4">
        <v>928</v>
      </c>
      <c r="H20" s="8">
        <v>1.7</v>
      </c>
      <c r="I20" s="4">
        <v>0</v>
      </c>
    </row>
    <row r="21" spans="1:9" x14ac:dyDescent="0.2">
      <c r="A21" s="2">
        <v>19</v>
      </c>
      <c r="B21" s="1" t="s">
        <v>90</v>
      </c>
      <c r="C21" s="4">
        <v>1560</v>
      </c>
      <c r="D21" s="8">
        <v>1.35</v>
      </c>
      <c r="E21" s="4">
        <v>704</v>
      </c>
      <c r="F21" s="8">
        <v>1.17</v>
      </c>
      <c r="G21" s="4">
        <v>830</v>
      </c>
      <c r="H21" s="8">
        <v>1.52</v>
      </c>
      <c r="I21" s="4">
        <v>3</v>
      </c>
    </row>
    <row r="22" spans="1:9" x14ac:dyDescent="0.2">
      <c r="A22" s="2">
        <v>20</v>
      </c>
      <c r="B22" s="1" t="s">
        <v>78</v>
      </c>
      <c r="C22" s="4">
        <v>1528</v>
      </c>
      <c r="D22" s="8">
        <v>1.32</v>
      </c>
      <c r="E22" s="4">
        <v>179</v>
      </c>
      <c r="F22" s="8">
        <v>0.3</v>
      </c>
      <c r="G22" s="4">
        <v>1349</v>
      </c>
      <c r="H22" s="8">
        <v>2.4700000000000002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88</v>
      </c>
      <c r="C25" s="4">
        <v>4925</v>
      </c>
      <c r="D25" s="8">
        <v>14.49</v>
      </c>
      <c r="E25" s="4">
        <v>4338</v>
      </c>
      <c r="F25" s="8">
        <v>27.33</v>
      </c>
      <c r="G25" s="4">
        <v>587</v>
      </c>
      <c r="H25" s="8">
        <v>3.26</v>
      </c>
      <c r="I25" s="4">
        <v>0</v>
      </c>
    </row>
    <row r="26" spans="1:9" x14ac:dyDescent="0.2">
      <c r="A26" s="2">
        <v>2</v>
      </c>
      <c r="B26" s="1" t="s">
        <v>85</v>
      </c>
      <c r="C26" s="4">
        <v>3146</v>
      </c>
      <c r="D26" s="8">
        <v>9.26</v>
      </c>
      <c r="E26" s="4">
        <v>810</v>
      </c>
      <c r="F26" s="8">
        <v>5.0999999999999996</v>
      </c>
      <c r="G26" s="4">
        <v>2329</v>
      </c>
      <c r="H26" s="8">
        <v>12.94</v>
      </c>
      <c r="I26" s="4">
        <v>7</v>
      </c>
    </row>
    <row r="27" spans="1:9" x14ac:dyDescent="0.2">
      <c r="A27" s="2">
        <v>3</v>
      </c>
      <c r="B27" s="1" t="s">
        <v>89</v>
      </c>
      <c r="C27" s="4">
        <v>2687</v>
      </c>
      <c r="D27" s="8">
        <v>7.91</v>
      </c>
      <c r="E27" s="4">
        <v>2168</v>
      </c>
      <c r="F27" s="8">
        <v>13.66</v>
      </c>
      <c r="G27" s="4">
        <v>519</v>
      </c>
      <c r="H27" s="8">
        <v>2.88</v>
      </c>
      <c r="I27" s="4">
        <v>0</v>
      </c>
    </row>
    <row r="28" spans="1:9" x14ac:dyDescent="0.2">
      <c r="A28" s="2">
        <v>4</v>
      </c>
      <c r="B28" s="1" t="s">
        <v>83</v>
      </c>
      <c r="C28" s="4">
        <v>1918</v>
      </c>
      <c r="D28" s="8">
        <v>5.64</v>
      </c>
      <c r="E28" s="4">
        <v>930</v>
      </c>
      <c r="F28" s="8">
        <v>5.86</v>
      </c>
      <c r="G28" s="4">
        <v>985</v>
      </c>
      <c r="H28" s="8">
        <v>5.47</v>
      </c>
      <c r="I28" s="4">
        <v>3</v>
      </c>
    </row>
    <row r="29" spans="1:9" x14ac:dyDescent="0.2">
      <c r="A29" s="2">
        <v>5</v>
      </c>
      <c r="B29" s="1" t="s">
        <v>86</v>
      </c>
      <c r="C29" s="4">
        <v>1646</v>
      </c>
      <c r="D29" s="8">
        <v>4.84</v>
      </c>
      <c r="E29" s="4">
        <v>980</v>
      </c>
      <c r="F29" s="8">
        <v>6.17</v>
      </c>
      <c r="G29" s="4">
        <v>660</v>
      </c>
      <c r="H29" s="8">
        <v>3.67</v>
      </c>
      <c r="I29" s="4">
        <v>6</v>
      </c>
    </row>
    <row r="30" spans="1:9" x14ac:dyDescent="0.2">
      <c r="A30" s="2">
        <v>6</v>
      </c>
      <c r="B30" s="1" t="s">
        <v>81</v>
      </c>
      <c r="C30" s="4">
        <v>1529</v>
      </c>
      <c r="D30" s="8">
        <v>4.5</v>
      </c>
      <c r="E30" s="4">
        <v>991</v>
      </c>
      <c r="F30" s="8">
        <v>6.24</v>
      </c>
      <c r="G30" s="4">
        <v>536</v>
      </c>
      <c r="H30" s="8">
        <v>2.98</v>
      </c>
      <c r="I30" s="4">
        <v>2</v>
      </c>
    </row>
    <row r="31" spans="1:9" x14ac:dyDescent="0.2">
      <c r="A31" s="2">
        <v>7</v>
      </c>
      <c r="B31" s="1" t="s">
        <v>74</v>
      </c>
      <c r="C31" s="4">
        <v>1275</v>
      </c>
      <c r="D31" s="8">
        <v>3.75</v>
      </c>
      <c r="E31" s="4">
        <v>176</v>
      </c>
      <c r="F31" s="8">
        <v>1.1100000000000001</v>
      </c>
      <c r="G31" s="4">
        <v>1098</v>
      </c>
      <c r="H31" s="8">
        <v>6.1</v>
      </c>
      <c r="I31" s="4">
        <v>1</v>
      </c>
    </row>
    <row r="32" spans="1:9" x14ac:dyDescent="0.2">
      <c r="A32" s="2">
        <v>8</v>
      </c>
      <c r="B32" s="1" t="s">
        <v>80</v>
      </c>
      <c r="C32" s="4">
        <v>1254</v>
      </c>
      <c r="D32" s="8">
        <v>3.69</v>
      </c>
      <c r="E32" s="4">
        <v>547</v>
      </c>
      <c r="F32" s="8">
        <v>3.45</v>
      </c>
      <c r="G32" s="4">
        <v>707</v>
      </c>
      <c r="H32" s="8">
        <v>3.93</v>
      </c>
      <c r="I32" s="4">
        <v>0</v>
      </c>
    </row>
    <row r="33" spans="1:9" x14ac:dyDescent="0.2">
      <c r="A33" s="2">
        <v>9</v>
      </c>
      <c r="B33" s="1" t="s">
        <v>91</v>
      </c>
      <c r="C33" s="4">
        <v>1252</v>
      </c>
      <c r="D33" s="8">
        <v>3.68</v>
      </c>
      <c r="E33" s="4">
        <v>821</v>
      </c>
      <c r="F33" s="8">
        <v>5.17</v>
      </c>
      <c r="G33" s="4">
        <v>415</v>
      </c>
      <c r="H33" s="8">
        <v>2.2999999999999998</v>
      </c>
      <c r="I33" s="4">
        <v>11</v>
      </c>
    </row>
    <row r="34" spans="1:9" x14ac:dyDescent="0.2">
      <c r="A34" s="2">
        <v>10</v>
      </c>
      <c r="B34" s="1" t="s">
        <v>92</v>
      </c>
      <c r="C34" s="4">
        <v>1194</v>
      </c>
      <c r="D34" s="8">
        <v>3.51</v>
      </c>
      <c r="E34" s="4">
        <v>1018</v>
      </c>
      <c r="F34" s="8">
        <v>6.41</v>
      </c>
      <c r="G34" s="4">
        <v>175</v>
      </c>
      <c r="H34" s="8">
        <v>0.97</v>
      </c>
      <c r="I34" s="4">
        <v>1</v>
      </c>
    </row>
    <row r="35" spans="1:9" x14ac:dyDescent="0.2">
      <c r="A35" s="2">
        <v>11</v>
      </c>
      <c r="B35" s="1" t="s">
        <v>76</v>
      </c>
      <c r="C35" s="4">
        <v>863</v>
      </c>
      <c r="D35" s="8">
        <v>2.54</v>
      </c>
      <c r="E35" s="4">
        <v>149</v>
      </c>
      <c r="F35" s="8">
        <v>0.94</v>
      </c>
      <c r="G35" s="4">
        <v>714</v>
      </c>
      <c r="H35" s="8">
        <v>3.97</v>
      </c>
      <c r="I35" s="4">
        <v>0</v>
      </c>
    </row>
    <row r="36" spans="1:9" x14ac:dyDescent="0.2">
      <c r="A36" s="2">
        <v>12</v>
      </c>
      <c r="B36" s="1" t="s">
        <v>75</v>
      </c>
      <c r="C36" s="4">
        <v>832</v>
      </c>
      <c r="D36" s="8">
        <v>2.4500000000000002</v>
      </c>
      <c r="E36" s="4">
        <v>195</v>
      </c>
      <c r="F36" s="8">
        <v>1.23</v>
      </c>
      <c r="G36" s="4">
        <v>636</v>
      </c>
      <c r="H36" s="8">
        <v>3.53</v>
      </c>
      <c r="I36" s="4">
        <v>1</v>
      </c>
    </row>
    <row r="37" spans="1:9" x14ac:dyDescent="0.2">
      <c r="A37" s="2">
        <v>13</v>
      </c>
      <c r="B37" s="1" t="s">
        <v>84</v>
      </c>
      <c r="C37" s="4">
        <v>789</v>
      </c>
      <c r="D37" s="8">
        <v>2.3199999999999998</v>
      </c>
      <c r="E37" s="4">
        <v>106</v>
      </c>
      <c r="F37" s="8">
        <v>0.67</v>
      </c>
      <c r="G37" s="4">
        <v>683</v>
      </c>
      <c r="H37" s="8">
        <v>3.79</v>
      </c>
      <c r="I37" s="4">
        <v>0</v>
      </c>
    </row>
    <row r="38" spans="1:9" x14ac:dyDescent="0.2">
      <c r="A38" s="2">
        <v>14</v>
      </c>
      <c r="B38" s="1" t="s">
        <v>87</v>
      </c>
      <c r="C38" s="4">
        <v>770</v>
      </c>
      <c r="D38" s="8">
        <v>2.27</v>
      </c>
      <c r="E38" s="4">
        <v>238</v>
      </c>
      <c r="F38" s="8">
        <v>1.5</v>
      </c>
      <c r="G38" s="4">
        <v>527</v>
      </c>
      <c r="H38" s="8">
        <v>2.93</v>
      </c>
      <c r="I38" s="4">
        <v>0</v>
      </c>
    </row>
    <row r="39" spans="1:9" x14ac:dyDescent="0.2">
      <c r="A39" s="2">
        <v>15</v>
      </c>
      <c r="B39" s="1" t="s">
        <v>82</v>
      </c>
      <c r="C39" s="4">
        <v>687</v>
      </c>
      <c r="D39" s="8">
        <v>2.02</v>
      </c>
      <c r="E39" s="4">
        <v>368</v>
      </c>
      <c r="F39" s="8">
        <v>2.3199999999999998</v>
      </c>
      <c r="G39" s="4">
        <v>319</v>
      </c>
      <c r="H39" s="8">
        <v>1.77</v>
      </c>
      <c r="I39" s="4">
        <v>0</v>
      </c>
    </row>
    <row r="40" spans="1:9" x14ac:dyDescent="0.2">
      <c r="A40" s="2">
        <v>16</v>
      </c>
      <c r="B40" s="1" t="s">
        <v>78</v>
      </c>
      <c r="C40" s="4">
        <v>570</v>
      </c>
      <c r="D40" s="8">
        <v>1.68</v>
      </c>
      <c r="E40" s="4">
        <v>44</v>
      </c>
      <c r="F40" s="8">
        <v>0.28000000000000003</v>
      </c>
      <c r="G40" s="4">
        <v>526</v>
      </c>
      <c r="H40" s="8">
        <v>2.92</v>
      </c>
      <c r="I40" s="4">
        <v>0</v>
      </c>
    </row>
    <row r="41" spans="1:9" x14ac:dyDescent="0.2">
      <c r="A41" s="2">
        <v>17</v>
      </c>
      <c r="B41" s="1" t="s">
        <v>79</v>
      </c>
      <c r="C41" s="4">
        <v>569</v>
      </c>
      <c r="D41" s="8">
        <v>1.67</v>
      </c>
      <c r="E41" s="4">
        <v>84</v>
      </c>
      <c r="F41" s="8">
        <v>0.53</v>
      </c>
      <c r="G41" s="4">
        <v>483</v>
      </c>
      <c r="H41" s="8">
        <v>2.68</v>
      </c>
      <c r="I41" s="4">
        <v>2</v>
      </c>
    </row>
    <row r="42" spans="1:9" x14ac:dyDescent="0.2">
      <c r="A42" s="2">
        <v>18</v>
      </c>
      <c r="B42" s="1" t="s">
        <v>93</v>
      </c>
      <c r="C42" s="4">
        <v>551</v>
      </c>
      <c r="D42" s="8">
        <v>1.62</v>
      </c>
      <c r="E42" s="4">
        <v>15</v>
      </c>
      <c r="F42" s="8">
        <v>0.09</v>
      </c>
      <c r="G42" s="4">
        <v>521</v>
      </c>
      <c r="H42" s="8">
        <v>2.89</v>
      </c>
      <c r="I42" s="4">
        <v>4</v>
      </c>
    </row>
    <row r="43" spans="1:9" x14ac:dyDescent="0.2">
      <c r="A43" s="2">
        <v>19</v>
      </c>
      <c r="B43" s="1" t="s">
        <v>94</v>
      </c>
      <c r="C43" s="4">
        <v>530</v>
      </c>
      <c r="D43" s="8">
        <v>1.56</v>
      </c>
      <c r="E43" s="4">
        <v>45</v>
      </c>
      <c r="F43" s="8">
        <v>0.28000000000000003</v>
      </c>
      <c r="G43" s="4">
        <v>478</v>
      </c>
      <c r="H43" s="8">
        <v>2.65</v>
      </c>
      <c r="I43" s="4">
        <v>7</v>
      </c>
    </row>
    <row r="44" spans="1:9" x14ac:dyDescent="0.2">
      <c r="A44" s="2">
        <v>20</v>
      </c>
      <c r="B44" s="1" t="s">
        <v>90</v>
      </c>
      <c r="C44" s="4">
        <v>468</v>
      </c>
      <c r="D44" s="8">
        <v>1.38</v>
      </c>
      <c r="E44" s="4">
        <v>186</v>
      </c>
      <c r="F44" s="8">
        <v>1.17</v>
      </c>
      <c r="G44" s="4">
        <v>280</v>
      </c>
      <c r="H44" s="8">
        <v>1.56</v>
      </c>
      <c r="I44" s="4">
        <v>1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88</v>
      </c>
      <c r="C47" s="4">
        <v>420</v>
      </c>
      <c r="D47" s="8">
        <v>11.03</v>
      </c>
      <c r="E47" s="4">
        <v>356</v>
      </c>
      <c r="F47" s="8">
        <v>23.19</v>
      </c>
      <c r="G47" s="4">
        <v>64</v>
      </c>
      <c r="H47" s="8">
        <v>2.84</v>
      </c>
      <c r="I47" s="4">
        <v>0</v>
      </c>
    </row>
    <row r="48" spans="1:9" x14ac:dyDescent="0.2">
      <c r="A48" s="2">
        <v>2</v>
      </c>
      <c r="B48" s="1" t="s">
        <v>85</v>
      </c>
      <c r="C48" s="4">
        <v>398</v>
      </c>
      <c r="D48" s="8">
        <v>10.45</v>
      </c>
      <c r="E48" s="4">
        <v>45</v>
      </c>
      <c r="F48" s="8">
        <v>2.93</v>
      </c>
      <c r="G48" s="4">
        <v>353</v>
      </c>
      <c r="H48" s="8">
        <v>15.68</v>
      </c>
      <c r="I48" s="4">
        <v>0</v>
      </c>
    </row>
    <row r="49" spans="1:9" x14ac:dyDescent="0.2">
      <c r="A49" s="2">
        <v>3</v>
      </c>
      <c r="B49" s="1" t="s">
        <v>89</v>
      </c>
      <c r="C49" s="4">
        <v>339</v>
      </c>
      <c r="D49" s="8">
        <v>8.9</v>
      </c>
      <c r="E49" s="4">
        <v>250</v>
      </c>
      <c r="F49" s="8">
        <v>16.29</v>
      </c>
      <c r="G49" s="4">
        <v>89</v>
      </c>
      <c r="H49" s="8">
        <v>3.95</v>
      </c>
      <c r="I49" s="4">
        <v>0</v>
      </c>
    </row>
    <row r="50" spans="1:9" x14ac:dyDescent="0.2">
      <c r="A50" s="2">
        <v>4</v>
      </c>
      <c r="B50" s="1" t="s">
        <v>91</v>
      </c>
      <c r="C50" s="4">
        <v>216</v>
      </c>
      <c r="D50" s="8">
        <v>5.67</v>
      </c>
      <c r="E50" s="4">
        <v>125</v>
      </c>
      <c r="F50" s="8">
        <v>8.14</v>
      </c>
      <c r="G50" s="4">
        <v>87</v>
      </c>
      <c r="H50" s="8">
        <v>3.86</v>
      </c>
      <c r="I50" s="4">
        <v>3</v>
      </c>
    </row>
    <row r="51" spans="1:9" x14ac:dyDescent="0.2">
      <c r="A51" s="2">
        <v>5</v>
      </c>
      <c r="B51" s="1" t="s">
        <v>83</v>
      </c>
      <c r="C51" s="4">
        <v>209</v>
      </c>
      <c r="D51" s="8">
        <v>5.49</v>
      </c>
      <c r="E51" s="4">
        <v>102</v>
      </c>
      <c r="F51" s="8">
        <v>6.64</v>
      </c>
      <c r="G51" s="4">
        <v>106</v>
      </c>
      <c r="H51" s="8">
        <v>4.71</v>
      </c>
      <c r="I51" s="4">
        <v>1</v>
      </c>
    </row>
    <row r="52" spans="1:9" x14ac:dyDescent="0.2">
      <c r="A52" s="2">
        <v>6</v>
      </c>
      <c r="B52" s="1" t="s">
        <v>86</v>
      </c>
      <c r="C52" s="4">
        <v>196</v>
      </c>
      <c r="D52" s="8">
        <v>5.15</v>
      </c>
      <c r="E52" s="4">
        <v>72</v>
      </c>
      <c r="F52" s="8">
        <v>4.6900000000000004</v>
      </c>
      <c r="G52" s="4">
        <v>124</v>
      </c>
      <c r="H52" s="8">
        <v>5.51</v>
      </c>
      <c r="I52" s="4">
        <v>0</v>
      </c>
    </row>
    <row r="53" spans="1:9" x14ac:dyDescent="0.2">
      <c r="A53" s="2">
        <v>7</v>
      </c>
      <c r="B53" s="1" t="s">
        <v>92</v>
      </c>
      <c r="C53" s="4">
        <v>170</v>
      </c>
      <c r="D53" s="8">
        <v>4.46</v>
      </c>
      <c r="E53" s="4">
        <v>145</v>
      </c>
      <c r="F53" s="8">
        <v>9.4499999999999993</v>
      </c>
      <c r="G53" s="4">
        <v>25</v>
      </c>
      <c r="H53" s="8">
        <v>1.1100000000000001</v>
      </c>
      <c r="I53" s="4">
        <v>0</v>
      </c>
    </row>
    <row r="54" spans="1:9" x14ac:dyDescent="0.2">
      <c r="A54" s="2">
        <v>8</v>
      </c>
      <c r="B54" s="1" t="s">
        <v>81</v>
      </c>
      <c r="C54" s="4">
        <v>162</v>
      </c>
      <c r="D54" s="8">
        <v>4.25</v>
      </c>
      <c r="E54" s="4">
        <v>99</v>
      </c>
      <c r="F54" s="8">
        <v>6.45</v>
      </c>
      <c r="G54" s="4">
        <v>63</v>
      </c>
      <c r="H54" s="8">
        <v>2.8</v>
      </c>
      <c r="I54" s="4">
        <v>0</v>
      </c>
    </row>
    <row r="55" spans="1:9" x14ac:dyDescent="0.2">
      <c r="A55" s="2">
        <v>9</v>
      </c>
      <c r="B55" s="1" t="s">
        <v>74</v>
      </c>
      <c r="C55" s="4">
        <v>129</v>
      </c>
      <c r="D55" s="8">
        <v>3.39</v>
      </c>
      <c r="E55" s="4">
        <v>14</v>
      </c>
      <c r="F55" s="8">
        <v>0.91</v>
      </c>
      <c r="G55" s="4">
        <v>115</v>
      </c>
      <c r="H55" s="8">
        <v>5.1100000000000003</v>
      </c>
      <c r="I55" s="4">
        <v>0</v>
      </c>
    </row>
    <row r="56" spans="1:9" x14ac:dyDescent="0.2">
      <c r="A56" s="2">
        <v>10</v>
      </c>
      <c r="B56" s="1" t="s">
        <v>80</v>
      </c>
      <c r="C56" s="4">
        <v>116</v>
      </c>
      <c r="D56" s="8">
        <v>3.05</v>
      </c>
      <c r="E56" s="4">
        <v>59</v>
      </c>
      <c r="F56" s="8">
        <v>3.84</v>
      </c>
      <c r="G56" s="4">
        <v>57</v>
      </c>
      <c r="H56" s="8">
        <v>2.5299999999999998</v>
      </c>
      <c r="I56" s="4">
        <v>0</v>
      </c>
    </row>
    <row r="57" spans="1:9" x14ac:dyDescent="0.2">
      <c r="A57" s="2">
        <v>11</v>
      </c>
      <c r="B57" s="1" t="s">
        <v>84</v>
      </c>
      <c r="C57" s="4">
        <v>100</v>
      </c>
      <c r="D57" s="8">
        <v>2.63</v>
      </c>
      <c r="E57" s="4">
        <v>17</v>
      </c>
      <c r="F57" s="8">
        <v>1.1100000000000001</v>
      </c>
      <c r="G57" s="4">
        <v>83</v>
      </c>
      <c r="H57" s="8">
        <v>3.69</v>
      </c>
      <c r="I57" s="4">
        <v>0</v>
      </c>
    </row>
    <row r="58" spans="1:9" x14ac:dyDescent="0.2">
      <c r="A58" s="2">
        <v>12</v>
      </c>
      <c r="B58" s="1" t="s">
        <v>87</v>
      </c>
      <c r="C58" s="4">
        <v>98</v>
      </c>
      <c r="D58" s="8">
        <v>2.57</v>
      </c>
      <c r="E58" s="4">
        <v>31</v>
      </c>
      <c r="F58" s="8">
        <v>2.02</v>
      </c>
      <c r="G58" s="4">
        <v>65</v>
      </c>
      <c r="H58" s="8">
        <v>2.89</v>
      </c>
      <c r="I58" s="4">
        <v>0</v>
      </c>
    </row>
    <row r="59" spans="1:9" x14ac:dyDescent="0.2">
      <c r="A59" s="2">
        <v>13</v>
      </c>
      <c r="B59" s="1" t="s">
        <v>75</v>
      </c>
      <c r="C59" s="4">
        <v>97</v>
      </c>
      <c r="D59" s="8">
        <v>2.5499999999999998</v>
      </c>
      <c r="E59" s="4">
        <v>25</v>
      </c>
      <c r="F59" s="8">
        <v>1.63</v>
      </c>
      <c r="G59" s="4">
        <v>72</v>
      </c>
      <c r="H59" s="8">
        <v>3.2</v>
      </c>
      <c r="I59" s="4">
        <v>0</v>
      </c>
    </row>
    <row r="60" spans="1:9" x14ac:dyDescent="0.2">
      <c r="A60" s="2">
        <v>14</v>
      </c>
      <c r="B60" s="1" t="s">
        <v>82</v>
      </c>
      <c r="C60" s="4">
        <v>76</v>
      </c>
      <c r="D60" s="8">
        <v>2</v>
      </c>
      <c r="E60" s="4">
        <v>32</v>
      </c>
      <c r="F60" s="8">
        <v>2.08</v>
      </c>
      <c r="G60" s="4">
        <v>44</v>
      </c>
      <c r="H60" s="8">
        <v>1.95</v>
      </c>
      <c r="I60" s="4">
        <v>0</v>
      </c>
    </row>
    <row r="61" spans="1:9" x14ac:dyDescent="0.2">
      <c r="A61" s="2">
        <v>15</v>
      </c>
      <c r="B61" s="1" t="s">
        <v>76</v>
      </c>
      <c r="C61" s="4">
        <v>75</v>
      </c>
      <c r="D61" s="8">
        <v>1.97</v>
      </c>
      <c r="E61" s="4">
        <v>11</v>
      </c>
      <c r="F61" s="8">
        <v>0.72</v>
      </c>
      <c r="G61" s="4">
        <v>64</v>
      </c>
      <c r="H61" s="8">
        <v>2.84</v>
      </c>
      <c r="I61" s="4">
        <v>0</v>
      </c>
    </row>
    <row r="62" spans="1:9" x14ac:dyDescent="0.2">
      <c r="A62" s="2">
        <v>15</v>
      </c>
      <c r="B62" s="1" t="s">
        <v>94</v>
      </c>
      <c r="C62" s="4">
        <v>75</v>
      </c>
      <c r="D62" s="8">
        <v>1.97</v>
      </c>
      <c r="E62" s="4">
        <v>4</v>
      </c>
      <c r="F62" s="8">
        <v>0.26</v>
      </c>
      <c r="G62" s="4">
        <v>71</v>
      </c>
      <c r="H62" s="8">
        <v>3.15</v>
      </c>
      <c r="I62" s="4">
        <v>0</v>
      </c>
    </row>
    <row r="63" spans="1:9" x14ac:dyDescent="0.2">
      <c r="A63" s="2">
        <v>17</v>
      </c>
      <c r="B63" s="1" t="s">
        <v>79</v>
      </c>
      <c r="C63" s="4">
        <v>71</v>
      </c>
      <c r="D63" s="8">
        <v>1.86</v>
      </c>
      <c r="E63" s="4">
        <v>4</v>
      </c>
      <c r="F63" s="8">
        <v>0.26</v>
      </c>
      <c r="G63" s="4">
        <v>65</v>
      </c>
      <c r="H63" s="8">
        <v>2.89</v>
      </c>
      <c r="I63" s="4">
        <v>2</v>
      </c>
    </row>
    <row r="64" spans="1:9" x14ac:dyDescent="0.2">
      <c r="A64" s="2">
        <v>18</v>
      </c>
      <c r="B64" s="1" t="s">
        <v>95</v>
      </c>
      <c r="C64" s="4">
        <v>61</v>
      </c>
      <c r="D64" s="8">
        <v>1.6</v>
      </c>
      <c r="E64" s="4">
        <v>9</v>
      </c>
      <c r="F64" s="8">
        <v>0.59</v>
      </c>
      <c r="G64" s="4">
        <v>52</v>
      </c>
      <c r="H64" s="8">
        <v>2.31</v>
      </c>
      <c r="I64" s="4">
        <v>0</v>
      </c>
    </row>
    <row r="65" spans="1:9" x14ac:dyDescent="0.2">
      <c r="A65" s="2">
        <v>19</v>
      </c>
      <c r="B65" s="1" t="s">
        <v>90</v>
      </c>
      <c r="C65" s="4">
        <v>58</v>
      </c>
      <c r="D65" s="8">
        <v>1.52</v>
      </c>
      <c r="E65" s="4">
        <v>28</v>
      </c>
      <c r="F65" s="8">
        <v>1.82</v>
      </c>
      <c r="G65" s="4">
        <v>30</v>
      </c>
      <c r="H65" s="8">
        <v>1.33</v>
      </c>
      <c r="I65" s="4">
        <v>0</v>
      </c>
    </row>
    <row r="66" spans="1:9" x14ac:dyDescent="0.2">
      <c r="A66" s="2">
        <v>20</v>
      </c>
      <c r="B66" s="1" t="s">
        <v>93</v>
      </c>
      <c r="C66" s="4">
        <v>53</v>
      </c>
      <c r="D66" s="8">
        <v>1.39</v>
      </c>
      <c r="E66" s="4">
        <v>3</v>
      </c>
      <c r="F66" s="8">
        <v>0.2</v>
      </c>
      <c r="G66" s="4">
        <v>49</v>
      </c>
      <c r="H66" s="8">
        <v>2.1800000000000002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88</v>
      </c>
      <c r="C69" s="4">
        <v>430</v>
      </c>
      <c r="D69" s="8">
        <v>14.77</v>
      </c>
      <c r="E69" s="4">
        <v>391</v>
      </c>
      <c r="F69" s="8">
        <v>26.74</v>
      </c>
      <c r="G69" s="4">
        <v>39</v>
      </c>
      <c r="H69" s="8">
        <v>2.7</v>
      </c>
      <c r="I69" s="4">
        <v>0</v>
      </c>
    </row>
    <row r="70" spans="1:9" x14ac:dyDescent="0.2">
      <c r="A70" s="2">
        <v>2</v>
      </c>
      <c r="B70" s="1" t="s">
        <v>89</v>
      </c>
      <c r="C70" s="4">
        <v>298</v>
      </c>
      <c r="D70" s="8">
        <v>10.23</v>
      </c>
      <c r="E70" s="4">
        <v>249</v>
      </c>
      <c r="F70" s="8">
        <v>17.03</v>
      </c>
      <c r="G70" s="4">
        <v>49</v>
      </c>
      <c r="H70" s="8">
        <v>3.39</v>
      </c>
      <c r="I70" s="4">
        <v>0</v>
      </c>
    </row>
    <row r="71" spans="1:9" x14ac:dyDescent="0.2">
      <c r="A71" s="2">
        <v>3</v>
      </c>
      <c r="B71" s="1" t="s">
        <v>85</v>
      </c>
      <c r="C71" s="4">
        <v>273</v>
      </c>
      <c r="D71" s="8">
        <v>9.3800000000000008</v>
      </c>
      <c r="E71" s="4">
        <v>61</v>
      </c>
      <c r="F71" s="8">
        <v>4.17</v>
      </c>
      <c r="G71" s="4">
        <v>212</v>
      </c>
      <c r="H71" s="8">
        <v>14.67</v>
      </c>
      <c r="I71" s="4">
        <v>0</v>
      </c>
    </row>
    <row r="72" spans="1:9" x14ac:dyDescent="0.2">
      <c r="A72" s="2">
        <v>4</v>
      </c>
      <c r="B72" s="1" t="s">
        <v>81</v>
      </c>
      <c r="C72" s="4">
        <v>181</v>
      </c>
      <c r="D72" s="8">
        <v>6.22</v>
      </c>
      <c r="E72" s="4">
        <v>128</v>
      </c>
      <c r="F72" s="8">
        <v>8.76</v>
      </c>
      <c r="G72" s="4">
        <v>53</v>
      </c>
      <c r="H72" s="8">
        <v>3.67</v>
      </c>
      <c r="I72" s="4">
        <v>0</v>
      </c>
    </row>
    <row r="73" spans="1:9" x14ac:dyDescent="0.2">
      <c r="A73" s="2">
        <v>5</v>
      </c>
      <c r="B73" s="1" t="s">
        <v>83</v>
      </c>
      <c r="C73" s="4">
        <v>162</v>
      </c>
      <c r="D73" s="8">
        <v>5.56</v>
      </c>
      <c r="E73" s="4">
        <v>102</v>
      </c>
      <c r="F73" s="8">
        <v>6.98</v>
      </c>
      <c r="G73" s="4">
        <v>60</v>
      </c>
      <c r="H73" s="8">
        <v>4.1500000000000004</v>
      </c>
      <c r="I73" s="4">
        <v>0</v>
      </c>
    </row>
    <row r="74" spans="1:9" x14ac:dyDescent="0.2">
      <c r="A74" s="2">
        <v>6</v>
      </c>
      <c r="B74" s="1" t="s">
        <v>92</v>
      </c>
      <c r="C74" s="4">
        <v>138</v>
      </c>
      <c r="D74" s="8">
        <v>4.74</v>
      </c>
      <c r="E74" s="4">
        <v>118</v>
      </c>
      <c r="F74" s="8">
        <v>8.07</v>
      </c>
      <c r="G74" s="4">
        <v>20</v>
      </c>
      <c r="H74" s="8">
        <v>1.38</v>
      </c>
      <c r="I74" s="4">
        <v>0</v>
      </c>
    </row>
    <row r="75" spans="1:9" x14ac:dyDescent="0.2">
      <c r="A75" s="2">
        <v>7</v>
      </c>
      <c r="B75" s="1" t="s">
        <v>91</v>
      </c>
      <c r="C75" s="4">
        <v>122</v>
      </c>
      <c r="D75" s="8">
        <v>4.1900000000000004</v>
      </c>
      <c r="E75" s="4">
        <v>72</v>
      </c>
      <c r="F75" s="8">
        <v>4.92</v>
      </c>
      <c r="G75" s="4">
        <v>50</v>
      </c>
      <c r="H75" s="8">
        <v>3.46</v>
      </c>
      <c r="I75" s="4">
        <v>0</v>
      </c>
    </row>
    <row r="76" spans="1:9" x14ac:dyDescent="0.2">
      <c r="A76" s="2">
        <v>8</v>
      </c>
      <c r="B76" s="1" t="s">
        <v>74</v>
      </c>
      <c r="C76" s="4">
        <v>110</v>
      </c>
      <c r="D76" s="8">
        <v>3.78</v>
      </c>
      <c r="E76" s="4">
        <v>18</v>
      </c>
      <c r="F76" s="8">
        <v>1.23</v>
      </c>
      <c r="G76" s="4">
        <v>92</v>
      </c>
      <c r="H76" s="8">
        <v>6.37</v>
      </c>
      <c r="I76" s="4">
        <v>0</v>
      </c>
    </row>
    <row r="77" spans="1:9" x14ac:dyDescent="0.2">
      <c r="A77" s="2">
        <v>9</v>
      </c>
      <c r="B77" s="1" t="s">
        <v>84</v>
      </c>
      <c r="C77" s="4">
        <v>103</v>
      </c>
      <c r="D77" s="8">
        <v>3.54</v>
      </c>
      <c r="E77" s="4">
        <v>8</v>
      </c>
      <c r="F77" s="8">
        <v>0.55000000000000004</v>
      </c>
      <c r="G77" s="4">
        <v>95</v>
      </c>
      <c r="H77" s="8">
        <v>6.57</v>
      </c>
      <c r="I77" s="4">
        <v>0</v>
      </c>
    </row>
    <row r="78" spans="1:9" x14ac:dyDescent="0.2">
      <c r="A78" s="2">
        <v>10</v>
      </c>
      <c r="B78" s="1" t="s">
        <v>76</v>
      </c>
      <c r="C78" s="4">
        <v>97</v>
      </c>
      <c r="D78" s="8">
        <v>3.33</v>
      </c>
      <c r="E78" s="4">
        <v>14</v>
      </c>
      <c r="F78" s="8">
        <v>0.96</v>
      </c>
      <c r="G78" s="4">
        <v>83</v>
      </c>
      <c r="H78" s="8">
        <v>5.74</v>
      </c>
      <c r="I78" s="4">
        <v>0</v>
      </c>
    </row>
    <row r="79" spans="1:9" x14ac:dyDescent="0.2">
      <c r="A79" s="2">
        <v>11</v>
      </c>
      <c r="B79" s="1" t="s">
        <v>86</v>
      </c>
      <c r="C79" s="4">
        <v>82</v>
      </c>
      <c r="D79" s="8">
        <v>2.82</v>
      </c>
      <c r="E79" s="4">
        <v>42</v>
      </c>
      <c r="F79" s="8">
        <v>2.87</v>
      </c>
      <c r="G79" s="4">
        <v>40</v>
      </c>
      <c r="H79" s="8">
        <v>2.77</v>
      </c>
      <c r="I79" s="4">
        <v>0</v>
      </c>
    </row>
    <row r="80" spans="1:9" x14ac:dyDescent="0.2">
      <c r="A80" s="2">
        <v>12</v>
      </c>
      <c r="B80" s="1" t="s">
        <v>80</v>
      </c>
      <c r="C80" s="4">
        <v>80</v>
      </c>
      <c r="D80" s="8">
        <v>2.75</v>
      </c>
      <c r="E80" s="4">
        <v>53</v>
      </c>
      <c r="F80" s="8">
        <v>3.63</v>
      </c>
      <c r="G80" s="4">
        <v>27</v>
      </c>
      <c r="H80" s="8">
        <v>1.87</v>
      </c>
      <c r="I80" s="4">
        <v>0</v>
      </c>
    </row>
    <row r="81" spans="1:9" x14ac:dyDescent="0.2">
      <c r="A81" s="2">
        <v>13</v>
      </c>
      <c r="B81" s="1" t="s">
        <v>75</v>
      </c>
      <c r="C81" s="4">
        <v>63</v>
      </c>
      <c r="D81" s="8">
        <v>2.16</v>
      </c>
      <c r="E81" s="4">
        <v>13</v>
      </c>
      <c r="F81" s="8">
        <v>0.89</v>
      </c>
      <c r="G81" s="4">
        <v>50</v>
      </c>
      <c r="H81" s="8">
        <v>3.46</v>
      </c>
      <c r="I81" s="4">
        <v>0</v>
      </c>
    </row>
    <row r="82" spans="1:9" x14ac:dyDescent="0.2">
      <c r="A82" s="2">
        <v>13</v>
      </c>
      <c r="B82" s="1" t="s">
        <v>82</v>
      </c>
      <c r="C82" s="4">
        <v>63</v>
      </c>
      <c r="D82" s="8">
        <v>2.16</v>
      </c>
      <c r="E82" s="4">
        <v>37</v>
      </c>
      <c r="F82" s="8">
        <v>2.5299999999999998</v>
      </c>
      <c r="G82" s="4">
        <v>26</v>
      </c>
      <c r="H82" s="8">
        <v>1.8</v>
      </c>
      <c r="I82" s="4">
        <v>0</v>
      </c>
    </row>
    <row r="83" spans="1:9" x14ac:dyDescent="0.2">
      <c r="A83" s="2">
        <v>15</v>
      </c>
      <c r="B83" s="1" t="s">
        <v>87</v>
      </c>
      <c r="C83" s="4">
        <v>59</v>
      </c>
      <c r="D83" s="8">
        <v>2.0299999999999998</v>
      </c>
      <c r="E83" s="4">
        <v>23</v>
      </c>
      <c r="F83" s="8">
        <v>1.57</v>
      </c>
      <c r="G83" s="4">
        <v>36</v>
      </c>
      <c r="H83" s="8">
        <v>2.4900000000000002</v>
      </c>
      <c r="I83" s="4">
        <v>0</v>
      </c>
    </row>
    <row r="84" spans="1:9" x14ac:dyDescent="0.2">
      <c r="A84" s="2">
        <v>16</v>
      </c>
      <c r="B84" s="1" t="s">
        <v>79</v>
      </c>
      <c r="C84" s="4">
        <v>49</v>
      </c>
      <c r="D84" s="8">
        <v>1.68</v>
      </c>
      <c r="E84" s="4">
        <v>8</v>
      </c>
      <c r="F84" s="8">
        <v>0.55000000000000004</v>
      </c>
      <c r="G84" s="4">
        <v>41</v>
      </c>
      <c r="H84" s="8">
        <v>2.84</v>
      </c>
      <c r="I84" s="4">
        <v>0</v>
      </c>
    </row>
    <row r="85" spans="1:9" x14ac:dyDescent="0.2">
      <c r="A85" s="2">
        <v>16</v>
      </c>
      <c r="B85" s="1" t="s">
        <v>94</v>
      </c>
      <c r="C85" s="4">
        <v>49</v>
      </c>
      <c r="D85" s="8">
        <v>1.68</v>
      </c>
      <c r="E85" s="4">
        <v>4</v>
      </c>
      <c r="F85" s="8">
        <v>0.27</v>
      </c>
      <c r="G85" s="4">
        <v>45</v>
      </c>
      <c r="H85" s="8">
        <v>3.11</v>
      </c>
      <c r="I85" s="4">
        <v>0</v>
      </c>
    </row>
    <row r="86" spans="1:9" x14ac:dyDescent="0.2">
      <c r="A86" s="2">
        <v>18</v>
      </c>
      <c r="B86" s="1" t="s">
        <v>93</v>
      </c>
      <c r="C86" s="4">
        <v>45</v>
      </c>
      <c r="D86" s="8">
        <v>1.55</v>
      </c>
      <c r="E86" s="4">
        <v>1</v>
      </c>
      <c r="F86" s="8">
        <v>7.0000000000000007E-2</v>
      </c>
      <c r="G86" s="4">
        <v>43</v>
      </c>
      <c r="H86" s="8">
        <v>2.98</v>
      </c>
      <c r="I86" s="4">
        <v>0</v>
      </c>
    </row>
    <row r="87" spans="1:9" x14ac:dyDescent="0.2">
      <c r="A87" s="2">
        <v>19</v>
      </c>
      <c r="B87" s="1" t="s">
        <v>90</v>
      </c>
      <c r="C87" s="4">
        <v>42</v>
      </c>
      <c r="D87" s="8">
        <v>1.44</v>
      </c>
      <c r="E87" s="4">
        <v>18</v>
      </c>
      <c r="F87" s="8">
        <v>1.23</v>
      </c>
      <c r="G87" s="4">
        <v>24</v>
      </c>
      <c r="H87" s="8">
        <v>1.66</v>
      </c>
      <c r="I87" s="4">
        <v>0</v>
      </c>
    </row>
    <row r="88" spans="1:9" x14ac:dyDescent="0.2">
      <c r="A88" s="2">
        <v>20</v>
      </c>
      <c r="B88" s="1" t="s">
        <v>78</v>
      </c>
      <c r="C88" s="4">
        <v>38</v>
      </c>
      <c r="D88" s="8">
        <v>1.3</v>
      </c>
      <c r="E88" s="4">
        <v>5</v>
      </c>
      <c r="F88" s="8">
        <v>0.34</v>
      </c>
      <c r="G88" s="4">
        <v>33</v>
      </c>
      <c r="H88" s="8">
        <v>2.2799999999999998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88</v>
      </c>
      <c r="C91" s="4">
        <v>645</v>
      </c>
      <c r="D91" s="8">
        <v>17.61</v>
      </c>
      <c r="E91" s="4">
        <v>597</v>
      </c>
      <c r="F91" s="8">
        <v>29.61</v>
      </c>
      <c r="G91" s="4">
        <v>48</v>
      </c>
      <c r="H91" s="8">
        <v>2.93</v>
      </c>
      <c r="I91" s="4">
        <v>0</v>
      </c>
    </row>
    <row r="92" spans="1:9" x14ac:dyDescent="0.2">
      <c r="A92" s="2">
        <v>2</v>
      </c>
      <c r="B92" s="1" t="s">
        <v>85</v>
      </c>
      <c r="C92" s="4">
        <v>335</v>
      </c>
      <c r="D92" s="8">
        <v>9.15</v>
      </c>
      <c r="E92" s="4">
        <v>150</v>
      </c>
      <c r="F92" s="8">
        <v>7.44</v>
      </c>
      <c r="G92" s="4">
        <v>184</v>
      </c>
      <c r="H92" s="8">
        <v>11.23</v>
      </c>
      <c r="I92" s="4">
        <v>1</v>
      </c>
    </row>
    <row r="93" spans="1:9" x14ac:dyDescent="0.2">
      <c r="A93" s="2">
        <v>3</v>
      </c>
      <c r="B93" s="1" t="s">
        <v>89</v>
      </c>
      <c r="C93" s="4">
        <v>272</v>
      </c>
      <c r="D93" s="8">
        <v>7.43</v>
      </c>
      <c r="E93" s="4">
        <v>234</v>
      </c>
      <c r="F93" s="8">
        <v>11.61</v>
      </c>
      <c r="G93" s="4">
        <v>38</v>
      </c>
      <c r="H93" s="8">
        <v>2.3199999999999998</v>
      </c>
      <c r="I93" s="4">
        <v>0</v>
      </c>
    </row>
    <row r="94" spans="1:9" x14ac:dyDescent="0.2">
      <c r="A94" s="2">
        <v>4</v>
      </c>
      <c r="B94" s="1" t="s">
        <v>81</v>
      </c>
      <c r="C94" s="4">
        <v>244</v>
      </c>
      <c r="D94" s="8">
        <v>6.66</v>
      </c>
      <c r="E94" s="4">
        <v>186</v>
      </c>
      <c r="F94" s="8">
        <v>9.23</v>
      </c>
      <c r="G94" s="4">
        <v>58</v>
      </c>
      <c r="H94" s="8">
        <v>3.54</v>
      </c>
      <c r="I94" s="4">
        <v>0</v>
      </c>
    </row>
    <row r="95" spans="1:9" x14ac:dyDescent="0.2">
      <c r="A95" s="2">
        <v>5</v>
      </c>
      <c r="B95" s="1" t="s">
        <v>83</v>
      </c>
      <c r="C95" s="4">
        <v>238</v>
      </c>
      <c r="D95" s="8">
        <v>6.5</v>
      </c>
      <c r="E95" s="4">
        <v>140</v>
      </c>
      <c r="F95" s="8">
        <v>6.94</v>
      </c>
      <c r="G95" s="4">
        <v>98</v>
      </c>
      <c r="H95" s="8">
        <v>5.98</v>
      </c>
      <c r="I95" s="4">
        <v>0</v>
      </c>
    </row>
    <row r="96" spans="1:9" x14ac:dyDescent="0.2">
      <c r="A96" s="2">
        <v>6</v>
      </c>
      <c r="B96" s="1" t="s">
        <v>74</v>
      </c>
      <c r="C96" s="4">
        <v>123</v>
      </c>
      <c r="D96" s="8">
        <v>3.36</v>
      </c>
      <c r="E96" s="4">
        <v>26</v>
      </c>
      <c r="F96" s="8">
        <v>1.29</v>
      </c>
      <c r="G96" s="4">
        <v>97</v>
      </c>
      <c r="H96" s="8">
        <v>5.92</v>
      </c>
      <c r="I96" s="4">
        <v>0</v>
      </c>
    </row>
    <row r="97" spans="1:9" x14ac:dyDescent="0.2">
      <c r="A97" s="2">
        <v>7</v>
      </c>
      <c r="B97" s="1" t="s">
        <v>76</v>
      </c>
      <c r="C97" s="4">
        <v>107</v>
      </c>
      <c r="D97" s="8">
        <v>2.92</v>
      </c>
      <c r="E97" s="4">
        <v>18</v>
      </c>
      <c r="F97" s="8">
        <v>0.89</v>
      </c>
      <c r="G97" s="4">
        <v>89</v>
      </c>
      <c r="H97" s="8">
        <v>5.43</v>
      </c>
      <c r="I97" s="4">
        <v>0</v>
      </c>
    </row>
    <row r="98" spans="1:9" x14ac:dyDescent="0.2">
      <c r="A98" s="2">
        <v>7</v>
      </c>
      <c r="B98" s="1" t="s">
        <v>92</v>
      </c>
      <c r="C98" s="4">
        <v>107</v>
      </c>
      <c r="D98" s="8">
        <v>2.92</v>
      </c>
      <c r="E98" s="4">
        <v>96</v>
      </c>
      <c r="F98" s="8">
        <v>4.76</v>
      </c>
      <c r="G98" s="4">
        <v>11</v>
      </c>
      <c r="H98" s="8">
        <v>0.67</v>
      </c>
      <c r="I98" s="4">
        <v>0</v>
      </c>
    </row>
    <row r="99" spans="1:9" x14ac:dyDescent="0.2">
      <c r="A99" s="2">
        <v>9</v>
      </c>
      <c r="B99" s="1" t="s">
        <v>80</v>
      </c>
      <c r="C99" s="4">
        <v>104</v>
      </c>
      <c r="D99" s="8">
        <v>2.84</v>
      </c>
      <c r="E99" s="4">
        <v>74</v>
      </c>
      <c r="F99" s="8">
        <v>3.67</v>
      </c>
      <c r="G99" s="4">
        <v>30</v>
      </c>
      <c r="H99" s="8">
        <v>1.83</v>
      </c>
      <c r="I99" s="4">
        <v>0</v>
      </c>
    </row>
    <row r="100" spans="1:9" x14ac:dyDescent="0.2">
      <c r="A100" s="2">
        <v>10</v>
      </c>
      <c r="B100" s="1" t="s">
        <v>75</v>
      </c>
      <c r="C100" s="4">
        <v>102</v>
      </c>
      <c r="D100" s="8">
        <v>2.79</v>
      </c>
      <c r="E100" s="4">
        <v>20</v>
      </c>
      <c r="F100" s="8">
        <v>0.99</v>
      </c>
      <c r="G100" s="4">
        <v>82</v>
      </c>
      <c r="H100" s="8">
        <v>5.01</v>
      </c>
      <c r="I100" s="4">
        <v>0</v>
      </c>
    </row>
    <row r="101" spans="1:9" x14ac:dyDescent="0.2">
      <c r="A101" s="2">
        <v>11</v>
      </c>
      <c r="B101" s="1" t="s">
        <v>86</v>
      </c>
      <c r="C101" s="4">
        <v>96</v>
      </c>
      <c r="D101" s="8">
        <v>2.62</v>
      </c>
      <c r="E101" s="4">
        <v>72</v>
      </c>
      <c r="F101" s="8">
        <v>3.57</v>
      </c>
      <c r="G101" s="4">
        <v>24</v>
      </c>
      <c r="H101" s="8">
        <v>1.47</v>
      </c>
      <c r="I101" s="4">
        <v>0</v>
      </c>
    </row>
    <row r="102" spans="1:9" x14ac:dyDescent="0.2">
      <c r="A102" s="2">
        <v>12</v>
      </c>
      <c r="B102" s="1" t="s">
        <v>78</v>
      </c>
      <c r="C102" s="4">
        <v>79</v>
      </c>
      <c r="D102" s="8">
        <v>2.16</v>
      </c>
      <c r="E102" s="4">
        <v>9</v>
      </c>
      <c r="F102" s="8">
        <v>0.45</v>
      </c>
      <c r="G102" s="4">
        <v>70</v>
      </c>
      <c r="H102" s="8">
        <v>4.2699999999999996</v>
      </c>
      <c r="I102" s="4">
        <v>0</v>
      </c>
    </row>
    <row r="103" spans="1:9" x14ac:dyDescent="0.2">
      <c r="A103" s="2">
        <v>13</v>
      </c>
      <c r="B103" s="1" t="s">
        <v>82</v>
      </c>
      <c r="C103" s="4">
        <v>74</v>
      </c>
      <c r="D103" s="8">
        <v>2.02</v>
      </c>
      <c r="E103" s="4">
        <v>49</v>
      </c>
      <c r="F103" s="8">
        <v>2.4300000000000002</v>
      </c>
      <c r="G103" s="4">
        <v>25</v>
      </c>
      <c r="H103" s="8">
        <v>1.53</v>
      </c>
      <c r="I103" s="4">
        <v>0</v>
      </c>
    </row>
    <row r="104" spans="1:9" x14ac:dyDescent="0.2">
      <c r="A104" s="2">
        <v>14</v>
      </c>
      <c r="B104" s="1" t="s">
        <v>95</v>
      </c>
      <c r="C104" s="4">
        <v>70</v>
      </c>
      <c r="D104" s="8">
        <v>1.91</v>
      </c>
      <c r="E104" s="4">
        <v>10</v>
      </c>
      <c r="F104" s="8">
        <v>0.5</v>
      </c>
      <c r="G104" s="4">
        <v>60</v>
      </c>
      <c r="H104" s="8">
        <v>3.66</v>
      </c>
      <c r="I104" s="4">
        <v>0</v>
      </c>
    </row>
    <row r="105" spans="1:9" x14ac:dyDescent="0.2">
      <c r="A105" s="2">
        <v>15</v>
      </c>
      <c r="B105" s="1" t="s">
        <v>84</v>
      </c>
      <c r="C105" s="4">
        <v>69</v>
      </c>
      <c r="D105" s="8">
        <v>1.88</v>
      </c>
      <c r="E105" s="4">
        <v>9</v>
      </c>
      <c r="F105" s="8">
        <v>0.45</v>
      </c>
      <c r="G105" s="4">
        <v>60</v>
      </c>
      <c r="H105" s="8">
        <v>3.66</v>
      </c>
      <c r="I105" s="4">
        <v>0</v>
      </c>
    </row>
    <row r="106" spans="1:9" x14ac:dyDescent="0.2">
      <c r="A106" s="2">
        <v>16</v>
      </c>
      <c r="B106" s="1" t="s">
        <v>91</v>
      </c>
      <c r="C106" s="4">
        <v>59</v>
      </c>
      <c r="D106" s="8">
        <v>1.61</v>
      </c>
      <c r="E106" s="4">
        <v>48</v>
      </c>
      <c r="F106" s="8">
        <v>2.38</v>
      </c>
      <c r="G106" s="4">
        <v>10</v>
      </c>
      <c r="H106" s="8">
        <v>0.61</v>
      </c>
      <c r="I106" s="4">
        <v>1</v>
      </c>
    </row>
    <row r="107" spans="1:9" x14ac:dyDescent="0.2">
      <c r="A107" s="2">
        <v>17</v>
      </c>
      <c r="B107" s="1" t="s">
        <v>97</v>
      </c>
      <c r="C107" s="4">
        <v>58</v>
      </c>
      <c r="D107" s="8">
        <v>1.58</v>
      </c>
      <c r="E107" s="4">
        <v>14</v>
      </c>
      <c r="F107" s="8">
        <v>0.69</v>
      </c>
      <c r="G107" s="4">
        <v>44</v>
      </c>
      <c r="H107" s="8">
        <v>2.69</v>
      </c>
      <c r="I107" s="4">
        <v>0</v>
      </c>
    </row>
    <row r="108" spans="1:9" x14ac:dyDescent="0.2">
      <c r="A108" s="2">
        <v>18</v>
      </c>
      <c r="B108" s="1" t="s">
        <v>79</v>
      </c>
      <c r="C108" s="4">
        <v>57</v>
      </c>
      <c r="D108" s="8">
        <v>1.56</v>
      </c>
      <c r="E108" s="4">
        <v>18</v>
      </c>
      <c r="F108" s="8">
        <v>0.89</v>
      </c>
      <c r="G108" s="4">
        <v>39</v>
      </c>
      <c r="H108" s="8">
        <v>2.38</v>
      </c>
      <c r="I108" s="4">
        <v>0</v>
      </c>
    </row>
    <row r="109" spans="1:9" x14ac:dyDescent="0.2">
      <c r="A109" s="2">
        <v>19</v>
      </c>
      <c r="B109" s="1" t="s">
        <v>87</v>
      </c>
      <c r="C109" s="4">
        <v>53</v>
      </c>
      <c r="D109" s="8">
        <v>1.45</v>
      </c>
      <c r="E109" s="4">
        <v>23</v>
      </c>
      <c r="F109" s="8">
        <v>1.1399999999999999</v>
      </c>
      <c r="G109" s="4">
        <v>29</v>
      </c>
      <c r="H109" s="8">
        <v>1.77</v>
      </c>
      <c r="I109" s="4">
        <v>0</v>
      </c>
    </row>
    <row r="110" spans="1:9" x14ac:dyDescent="0.2">
      <c r="A110" s="2">
        <v>20</v>
      </c>
      <c r="B110" s="1" t="s">
        <v>96</v>
      </c>
      <c r="C110" s="4">
        <v>50</v>
      </c>
      <c r="D110" s="8">
        <v>1.37</v>
      </c>
      <c r="E110" s="4">
        <v>16</v>
      </c>
      <c r="F110" s="8">
        <v>0.79</v>
      </c>
      <c r="G110" s="4">
        <v>34</v>
      </c>
      <c r="H110" s="8">
        <v>2.08</v>
      </c>
      <c r="I110" s="4">
        <v>0</v>
      </c>
    </row>
    <row r="111" spans="1:9" x14ac:dyDescent="0.2">
      <c r="A111" s="2">
        <v>20</v>
      </c>
      <c r="B111" s="1" t="s">
        <v>93</v>
      </c>
      <c r="C111" s="4">
        <v>50</v>
      </c>
      <c r="D111" s="8">
        <v>1.37</v>
      </c>
      <c r="E111" s="4">
        <v>1</v>
      </c>
      <c r="F111" s="8">
        <v>0.05</v>
      </c>
      <c r="G111" s="4">
        <v>48</v>
      </c>
      <c r="H111" s="8">
        <v>2.93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88</v>
      </c>
      <c r="C114" s="4">
        <v>450</v>
      </c>
      <c r="D114" s="8">
        <v>14.05</v>
      </c>
      <c r="E114" s="4">
        <v>424</v>
      </c>
      <c r="F114" s="8">
        <v>22.32</v>
      </c>
      <c r="G114" s="4">
        <v>26</v>
      </c>
      <c r="H114" s="8">
        <v>2.0099999999999998</v>
      </c>
      <c r="I114" s="4">
        <v>0</v>
      </c>
    </row>
    <row r="115" spans="1:9" x14ac:dyDescent="0.2">
      <c r="A115" s="2">
        <v>2</v>
      </c>
      <c r="B115" s="1" t="s">
        <v>89</v>
      </c>
      <c r="C115" s="4">
        <v>252</v>
      </c>
      <c r="D115" s="8">
        <v>7.87</v>
      </c>
      <c r="E115" s="4">
        <v>230</v>
      </c>
      <c r="F115" s="8">
        <v>12.11</v>
      </c>
      <c r="G115" s="4">
        <v>22</v>
      </c>
      <c r="H115" s="8">
        <v>1.7</v>
      </c>
      <c r="I115" s="4">
        <v>0</v>
      </c>
    </row>
    <row r="116" spans="1:9" x14ac:dyDescent="0.2">
      <c r="A116" s="2">
        <v>3</v>
      </c>
      <c r="B116" s="1" t="s">
        <v>85</v>
      </c>
      <c r="C116" s="4">
        <v>231</v>
      </c>
      <c r="D116" s="8">
        <v>7.21</v>
      </c>
      <c r="E116" s="4">
        <v>110</v>
      </c>
      <c r="F116" s="8">
        <v>5.79</v>
      </c>
      <c r="G116" s="4">
        <v>121</v>
      </c>
      <c r="H116" s="8">
        <v>9.34</v>
      </c>
      <c r="I116" s="4">
        <v>0</v>
      </c>
    </row>
    <row r="117" spans="1:9" x14ac:dyDescent="0.2">
      <c r="A117" s="2">
        <v>4</v>
      </c>
      <c r="B117" s="1" t="s">
        <v>81</v>
      </c>
      <c r="C117" s="4">
        <v>199</v>
      </c>
      <c r="D117" s="8">
        <v>6.21</v>
      </c>
      <c r="E117" s="4">
        <v>154</v>
      </c>
      <c r="F117" s="8">
        <v>8.11</v>
      </c>
      <c r="G117" s="4">
        <v>45</v>
      </c>
      <c r="H117" s="8">
        <v>3.47</v>
      </c>
      <c r="I117" s="4">
        <v>0</v>
      </c>
    </row>
    <row r="118" spans="1:9" x14ac:dyDescent="0.2">
      <c r="A118" s="2">
        <v>5</v>
      </c>
      <c r="B118" s="1" t="s">
        <v>83</v>
      </c>
      <c r="C118" s="4">
        <v>163</v>
      </c>
      <c r="D118" s="8">
        <v>5.09</v>
      </c>
      <c r="E118" s="4">
        <v>94</v>
      </c>
      <c r="F118" s="8">
        <v>4.95</v>
      </c>
      <c r="G118" s="4">
        <v>69</v>
      </c>
      <c r="H118" s="8">
        <v>5.32</v>
      </c>
      <c r="I118" s="4">
        <v>0</v>
      </c>
    </row>
    <row r="119" spans="1:9" x14ac:dyDescent="0.2">
      <c r="A119" s="2">
        <v>6</v>
      </c>
      <c r="B119" s="1" t="s">
        <v>98</v>
      </c>
      <c r="C119" s="4">
        <v>145</v>
      </c>
      <c r="D119" s="8">
        <v>4.53</v>
      </c>
      <c r="E119" s="4">
        <v>113</v>
      </c>
      <c r="F119" s="8">
        <v>5.95</v>
      </c>
      <c r="G119" s="4">
        <v>32</v>
      </c>
      <c r="H119" s="8">
        <v>2.4700000000000002</v>
      </c>
      <c r="I119" s="4">
        <v>0</v>
      </c>
    </row>
    <row r="120" spans="1:9" x14ac:dyDescent="0.2">
      <c r="A120" s="2">
        <v>7</v>
      </c>
      <c r="B120" s="1" t="s">
        <v>92</v>
      </c>
      <c r="C120" s="4">
        <v>108</v>
      </c>
      <c r="D120" s="8">
        <v>3.37</v>
      </c>
      <c r="E120" s="4">
        <v>97</v>
      </c>
      <c r="F120" s="8">
        <v>5.1100000000000003</v>
      </c>
      <c r="G120" s="4">
        <v>11</v>
      </c>
      <c r="H120" s="8">
        <v>0.85</v>
      </c>
      <c r="I120" s="4">
        <v>0</v>
      </c>
    </row>
    <row r="121" spans="1:9" x14ac:dyDescent="0.2">
      <c r="A121" s="2">
        <v>8</v>
      </c>
      <c r="B121" s="1" t="s">
        <v>99</v>
      </c>
      <c r="C121" s="4">
        <v>107</v>
      </c>
      <c r="D121" s="8">
        <v>3.34</v>
      </c>
      <c r="E121" s="4">
        <v>91</v>
      </c>
      <c r="F121" s="8">
        <v>4.79</v>
      </c>
      <c r="G121" s="4">
        <v>16</v>
      </c>
      <c r="H121" s="8">
        <v>1.23</v>
      </c>
      <c r="I121" s="4">
        <v>0</v>
      </c>
    </row>
    <row r="122" spans="1:9" x14ac:dyDescent="0.2">
      <c r="A122" s="2">
        <v>9</v>
      </c>
      <c r="B122" s="1" t="s">
        <v>75</v>
      </c>
      <c r="C122" s="4">
        <v>98</v>
      </c>
      <c r="D122" s="8">
        <v>3.06</v>
      </c>
      <c r="E122" s="4">
        <v>37</v>
      </c>
      <c r="F122" s="8">
        <v>1.95</v>
      </c>
      <c r="G122" s="4">
        <v>61</v>
      </c>
      <c r="H122" s="8">
        <v>4.71</v>
      </c>
      <c r="I122" s="4">
        <v>0</v>
      </c>
    </row>
    <row r="123" spans="1:9" x14ac:dyDescent="0.2">
      <c r="A123" s="2">
        <v>10</v>
      </c>
      <c r="B123" s="1" t="s">
        <v>100</v>
      </c>
      <c r="C123" s="4">
        <v>87</v>
      </c>
      <c r="D123" s="8">
        <v>2.72</v>
      </c>
      <c r="E123" s="4">
        <v>40</v>
      </c>
      <c r="F123" s="8">
        <v>2.11</v>
      </c>
      <c r="G123" s="4">
        <v>47</v>
      </c>
      <c r="H123" s="8">
        <v>3.63</v>
      </c>
      <c r="I123" s="4">
        <v>0</v>
      </c>
    </row>
    <row r="124" spans="1:9" x14ac:dyDescent="0.2">
      <c r="A124" s="2">
        <v>11</v>
      </c>
      <c r="B124" s="1" t="s">
        <v>74</v>
      </c>
      <c r="C124" s="4">
        <v>85</v>
      </c>
      <c r="D124" s="8">
        <v>2.65</v>
      </c>
      <c r="E124" s="4">
        <v>16</v>
      </c>
      <c r="F124" s="8">
        <v>0.84</v>
      </c>
      <c r="G124" s="4">
        <v>69</v>
      </c>
      <c r="H124" s="8">
        <v>5.32</v>
      </c>
      <c r="I124" s="4">
        <v>0</v>
      </c>
    </row>
    <row r="125" spans="1:9" x14ac:dyDescent="0.2">
      <c r="A125" s="2">
        <v>12</v>
      </c>
      <c r="B125" s="1" t="s">
        <v>76</v>
      </c>
      <c r="C125" s="4">
        <v>83</v>
      </c>
      <c r="D125" s="8">
        <v>2.59</v>
      </c>
      <c r="E125" s="4">
        <v>22</v>
      </c>
      <c r="F125" s="8">
        <v>1.1599999999999999</v>
      </c>
      <c r="G125" s="4">
        <v>61</v>
      </c>
      <c r="H125" s="8">
        <v>4.71</v>
      </c>
      <c r="I125" s="4">
        <v>0</v>
      </c>
    </row>
    <row r="126" spans="1:9" x14ac:dyDescent="0.2">
      <c r="A126" s="2">
        <v>13</v>
      </c>
      <c r="B126" s="1" t="s">
        <v>77</v>
      </c>
      <c r="C126" s="4">
        <v>82</v>
      </c>
      <c r="D126" s="8">
        <v>2.56</v>
      </c>
      <c r="E126" s="4">
        <v>32</v>
      </c>
      <c r="F126" s="8">
        <v>1.68</v>
      </c>
      <c r="G126" s="4">
        <v>50</v>
      </c>
      <c r="H126" s="8">
        <v>3.86</v>
      </c>
      <c r="I126" s="4">
        <v>0</v>
      </c>
    </row>
    <row r="127" spans="1:9" x14ac:dyDescent="0.2">
      <c r="A127" s="2">
        <v>14</v>
      </c>
      <c r="B127" s="1" t="s">
        <v>82</v>
      </c>
      <c r="C127" s="4">
        <v>76</v>
      </c>
      <c r="D127" s="8">
        <v>2.37</v>
      </c>
      <c r="E127" s="4">
        <v>48</v>
      </c>
      <c r="F127" s="8">
        <v>2.5299999999999998</v>
      </c>
      <c r="G127" s="4">
        <v>28</v>
      </c>
      <c r="H127" s="8">
        <v>2.16</v>
      </c>
      <c r="I127" s="4">
        <v>0</v>
      </c>
    </row>
    <row r="128" spans="1:9" x14ac:dyDescent="0.2">
      <c r="A128" s="2">
        <v>15</v>
      </c>
      <c r="B128" s="1" t="s">
        <v>80</v>
      </c>
      <c r="C128" s="4">
        <v>70</v>
      </c>
      <c r="D128" s="8">
        <v>2.19</v>
      </c>
      <c r="E128" s="4">
        <v>44</v>
      </c>
      <c r="F128" s="8">
        <v>2.3199999999999998</v>
      </c>
      <c r="G128" s="4">
        <v>26</v>
      </c>
      <c r="H128" s="8">
        <v>2.0099999999999998</v>
      </c>
      <c r="I128" s="4">
        <v>0</v>
      </c>
    </row>
    <row r="129" spans="1:9" x14ac:dyDescent="0.2">
      <c r="A129" s="2">
        <v>16</v>
      </c>
      <c r="B129" s="1" t="s">
        <v>86</v>
      </c>
      <c r="C129" s="4">
        <v>68</v>
      </c>
      <c r="D129" s="8">
        <v>2.12</v>
      </c>
      <c r="E129" s="4">
        <v>39</v>
      </c>
      <c r="F129" s="8">
        <v>2.0499999999999998</v>
      </c>
      <c r="G129" s="4">
        <v>29</v>
      </c>
      <c r="H129" s="8">
        <v>2.2400000000000002</v>
      </c>
      <c r="I129" s="4">
        <v>0</v>
      </c>
    </row>
    <row r="130" spans="1:9" x14ac:dyDescent="0.2">
      <c r="A130" s="2">
        <v>17</v>
      </c>
      <c r="B130" s="1" t="s">
        <v>97</v>
      </c>
      <c r="C130" s="4">
        <v>67</v>
      </c>
      <c r="D130" s="8">
        <v>2.09</v>
      </c>
      <c r="E130" s="4">
        <v>21</v>
      </c>
      <c r="F130" s="8">
        <v>1.1100000000000001</v>
      </c>
      <c r="G130" s="4">
        <v>46</v>
      </c>
      <c r="H130" s="8">
        <v>3.55</v>
      </c>
      <c r="I130" s="4">
        <v>0</v>
      </c>
    </row>
    <row r="131" spans="1:9" x14ac:dyDescent="0.2">
      <c r="A131" s="2">
        <v>18</v>
      </c>
      <c r="B131" s="1" t="s">
        <v>93</v>
      </c>
      <c r="C131" s="4">
        <v>61</v>
      </c>
      <c r="D131" s="8">
        <v>1.91</v>
      </c>
      <c r="E131" s="4">
        <v>1</v>
      </c>
      <c r="F131" s="8">
        <v>0.05</v>
      </c>
      <c r="G131" s="4">
        <v>59</v>
      </c>
      <c r="H131" s="8">
        <v>4.55</v>
      </c>
      <c r="I131" s="4">
        <v>0</v>
      </c>
    </row>
    <row r="132" spans="1:9" x14ac:dyDescent="0.2">
      <c r="A132" s="2">
        <v>19</v>
      </c>
      <c r="B132" s="1" t="s">
        <v>91</v>
      </c>
      <c r="C132" s="4">
        <v>58</v>
      </c>
      <c r="D132" s="8">
        <v>1.81</v>
      </c>
      <c r="E132" s="4">
        <v>48</v>
      </c>
      <c r="F132" s="8">
        <v>2.5299999999999998</v>
      </c>
      <c r="G132" s="4">
        <v>8</v>
      </c>
      <c r="H132" s="8">
        <v>0.62</v>
      </c>
      <c r="I132" s="4">
        <v>2</v>
      </c>
    </row>
    <row r="133" spans="1:9" x14ac:dyDescent="0.2">
      <c r="A133" s="2">
        <v>20</v>
      </c>
      <c r="B133" s="1" t="s">
        <v>84</v>
      </c>
      <c r="C133" s="4">
        <v>56</v>
      </c>
      <c r="D133" s="8">
        <v>1.75</v>
      </c>
      <c r="E133" s="4">
        <v>11</v>
      </c>
      <c r="F133" s="8">
        <v>0.57999999999999996</v>
      </c>
      <c r="G133" s="4">
        <v>45</v>
      </c>
      <c r="H133" s="8">
        <v>3.47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88</v>
      </c>
      <c r="C136" s="4">
        <v>284</v>
      </c>
      <c r="D136" s="8">
        <v>12.62</v>
      </c>
      <c r="E136" s="4">
        <v>256</v>
      </c>
      <c r="F136" s="8">
        <v>22.86</v>
      </c>
      <c r="G136" s="4">
        <v>28</v>
      </c>
      <c r="H136" s="8">
        <v>2.48</v>
      </c>
      <c r="I136" s="4">
        <v>0</v>
      </c>
    </row>
    <row r="137" spans="1:9" x14ac:dyDescent="0.2">
      <c r="A137" s="2">
        <v>2</v>
      </c>
      <c r="B137" s="1" t="s">
        <v>85</v>
      </c>
      <c r="C137" s="4">
        <v>224</v>
      </c>
      <c r="D137" s="8">
        <v>9.9600000000000009</v>
      </c>
      <c r="E137" s="4">
        <v>59</v>
      </c>
      <c r="F137" s="8">
        <v>5.27</v>
      </c>
      <c r="G137" s="4">
        <v>165</v>
      </c>
      <c r="H137" s="8">
        <v>14.64</v>
      </c>
      <c r="I137" s="4">
        <v>0</v>
      </c>
    </row>
    <row r="138" spans="1:9" x14ac:dyDescent="0.2">
      <c r="A138" s="2">
        <v>3</v>
      </c>
      <c r="B138" s="1" t="s">
        <v>89</v>
      </c>
      <c r="C138" s="4">
        <v>198</v>
      </c>
      <c r="D138" s="8">
        <v>8.8000000000000007</v>
      </c>
      <c r="E138" s="4">
        <v>167</v>
      </c>
      <c r="F138" s="8">
        <v>14.91</v>
      </c>
      <c r="G138" s="4">
        <v>31</v>
      </c>
      <c r="H138" s="8">
        <v>2.75</v>
      </c>
      <c r="I138" s="4">
        <v>0</v>
      </c>
    </row>
    <row r="139" spans="1:9" x14ac:dyDescent="0.2">
      <c r="A139" s="2">
        <v>4</v>
      </c>
      <c r="B139" s="1" t="s">
        <v>81</v>
      </c>
      <c r="C139" s="4">
        <v>118</v>
      </c>
      <c r="D139" s="8">
        <v>5.24</v>
      </c>
      <c r="E139" s="4">
        <v>70</v>
      </c>
      <c r="F139" s="8">
        <v>6.25</v>
      </c>
      <c r="G139" s="4">
        <v>48</v>
      </c>
      <c r="H139" s="8">
        <v>4.26</v>
      </c>
      <c r="I139" s="4">
        <v>0</v>
      </c>
    </row>
    <row r="140" spans="1:9" x14ac:dyDescent="0.2">
      <c r="A140" s="2">
        <v>5</v>
      </c>
      <c r="B140" s="1" t="s">
        <v>83</v>
      </c>
      <c r="C140" s="4">
        <v>111</v>
      </c>
      <c r="D140" s="8">
        <v>4.93</v>
      </c>
      <c r="E140" s="4">
        <v>54</v>
      </c>
      <c r="F140" s="8">
        <v>4.82</v>
      </c>
      <c r="G140" s="4">
        <v>57</v>
      </c>
      <c r="H140" s="8">
        <v>5.0599999999999996</v>
      </c>
      <c r="I140" s="4">
        <v>0</v>
      </c>
    </row>
    <row r="141" spans="1:9" x14ac:dyDescent="0.2">
      <c r="A141" s="2">
        <v>6</v>
      </c>
      <c r="B141" s="1" t="s">
        <v>74</v>
      </c>
      <c r="C141" s="4">
        <v>96</v>
      </c>
      <c r="D141" s="8">
        <v>4.2699999999999996</v>
      </c>
      <c r="E141" s="4">
        <v>18</v>
      </c>
      <c r="F141" s="8">
        <v>1.61</v>
      </c>
      <c r="G141" s="4">
        <v>78</v>
      </c>
      <c r="H141" s="8">
        <v>6.92</v>
      </c>
      <c r="I141" s="4">
        <v>0</v>
      </c>
    </row>
    <row r="142" spans="1:9" x14ac:dyDescent="0.2">
      <c r="A142" s="2">
        <v>7</v>
      </c>
      <c r="B142" s="1" t="s">
        <v>91</v>
      </c>
      <c r="C142" s="4">
        <v>95</v>
      </c>
      <c r="D142" s="8">
        <v>4.22</v>
      </c>
      <c r="E142" s="4">
        <v>70</v>
      </c>
      <c r="F142" s="8">
        <v>6.25</v>
      </c>
      <c r="G142" s="4">
        <v>24</v>
      </c>
      <c r="H142" s="8">
        <v>2.13</v>
      </c>
      <c r="I142" s="4">
        <v>1</v>
      </c>
    </row>
    <row r="143" spans="1:9" x14ac:dyDescent="0.2">
      <c r="A143" s="2">
        <v>8</v>
      </c>
      <c r="B143" s="1" t="s">
        <v>92</v>
      </c>
      <c r="C143" s="4">
        <v>89</v>
      </c>
      <c r="D143" s="8">
        <v>3.96</v>
      </c>
      <c r="E143" s="4">
        <v>84</v>
      </c>
      <c r="F143" s="8">
        <v>7.5</v>
      </c>
      <c r="G143" s="4">
        <v>5</v>
      </c>
      <c r="H143" s="8">
        <v>0.44</v>
      </c>
      <c r="I143" s="4">
        <v>0</v>
      </c>
    </row>
    <row r="144" spans="1:9" x14ac:dyDescent="0.2">
      <c r="A144" s="2">
        <v>9</v>
      </c>
      <c r="B144" s="1" t="s">
        <v>76</v>
      </c>
      <c r="C144" s="4">
        <v>73</v>
      </c>
      <c r="D144" s="8">
        <v>3.24</v>
      </c>
      <c r="E144" s="4">
        <v>21</v>
      </c>
      <c r="F144" s="8">
        <v>1.88</v>
      </c>
      <c r="G144" s="4">
        <v>52</v>
      </c>
      <c r="H144" s="8">
        <v>4.6100000000000003</v>
      </c>
      <c r="I144" s="4">
        <v>0</v>
      </c>
    </row>
    <row r="145" spans="1:9" x14ac:dyDescent="0.2">
      <c r="A145" s="2">
        <v>9</v>
      </c>
      <c r="B145" s="1" t="s">
        <v>86</v>
      </c>
      <c r="C145" s="4">
        <v>73</v>
      </c>
      <c r="D145" s="8">
        <v>3.24</v>
      </c>
      <c r="E145" s="4">
        <v>33</v>
      </c>
      <c r="F145" s="8">
        <v>2.95</v>
      </c>
      <c r="G145" s="4">
        <v>40</v>
      </c>
      <c r="H145" s="8">
        <v>3.55</v>
      </c>
      <c r="I145" s="4">
        <v>0</v>
      </c>
    </row>
    <row r="146" spans="1:9" x14ac:dyDescent="0.2">
      <c r="A146" s="2">
        <v>11</v>
      </c>
      <c r="B146" s="1" t="s">
        <v>80</v>
      </c>
      <c r="C146" s="4">
        <v>69</v>
      </c>
      <c r="D146" s="8">
        <v>3.07</v>
      </c>
      <c r="E146" s="4">
        <v>34</v>
      </c>
      <c r="F146" s="8">
        <v>3.04</v>
      </c>
      <c r="G146" s="4">
        <v>35</v>
      </c>
      <c r="H146" s="8">
        <v>3.11</v>
      </c>
      <c r="I146" s="4">
        <v>0</v>
      </c>
    </row>
    <row r="147" spans="1:9" x14ac:dyDescent="0.2">
      <c r="A147" s="2">
        <v>12</v>
      </c>
      <c r="B147" s="1" t="s">
        <v>84</v>
      </c>
      <c r="C147" s="4">
        <v>67</v>
      </c>
      <c r="D147" s="8">
        <v>2.98</v>
      </c>
      <c r="E147" s="4">
        <v>15</v>
      </c>
      <c r="F147" s="8">
        <v>1.34</v>
      </c>
      <c r="G147" s="4">
        <v>52</v>
      </c>
      <c r="H147" s="8">
        <v>4.6100000000000003</v>
      </c>
      <c r="I147" s="4">
        <v>0</v>
      </c>
    </row>
    <row r="148" spans="1:9" x14ac:dyDescent="0.2">
      <c r="A148" s="2">
        <v>13</v>
      </c>
      <c r="B148" s="1" t="s">
        <v>75</v>
      </c>
      <c r="C148" s="4">
        <v>57</v>
      </c>
      <c r="D148" s="8">
        <v>2.5299999999999998</v>
      </c>
      <c r="E148" s="4">
        <v>15</v>
      </c>
      <c r="F148" s="8">
        <v>1.34</v>
      </c>
      <c r="G148" s="4">
        <v>42</v>
      </c>
      <c r="H148" s="8">
        <v>3.73</v>
      </c>
      <c r="I148" s="4">
        <v>0</v>
      </c>
    </row>
    <row r="149" spans="1:9" x14ac:dyDescent="0.2">
      <c r="A149" s="2">
        <v>13</v>
      </c>
      <c r="B149" s="1" t="s">
        <v>87</v>
      </c>
      <c r="C149" s="4">
        <v>57</v>
      </c>
      <c r="D149" s="8">
        <v>2.5299999999999998</v>
      </c>
      <c r="E149" s="4">
        <v>22</v>
      </c>
      <c r="F149" s="8">
        <v>1.96</v>
      </c>
      <c r="G149" s="4">
        <v>34</v>
      </c>
      <c r="H149" s="8">
        <v>3.02</v>
      </c>
      <c r="I149" s="4">
        <v>0</v>
      </c>
    </row>
    <row r="150" spans="1:9" x14ac:dyDescent="0.2">
      <c r="A150" s="2">
        <v>15</v>
      </c>
      <c r="B150" s="1" t="s">
        <v>93</v>
      </c>
      <c r="C150" s="4">
        <v>56</v>
      </c>
      <c r="D150" s="8">
        <v>2.4900000000000002</v>
      </c>
      <c r="E150" s="4">
        <v>3</v>
      </c>
      <c r="F150" s="8">
        <v>0.27</v>
      </c>
      <c r="G150" s="4">
        <v>52</v>
      </c>
      <c r="H150" s="8">
        <v>4.6100000000000003</v>
      </c>
      <c r="I150" s="4">
        <v>0</v>
      </c>
    </row>
    <row r="151" spans="1:9" x14ac:dyDescent="0.2">
      <c r="A151" s="2">
        <v>16</v>
      </c>
      <c r="B151" s="1" t="s">
        <v>82</v>
      </c>
      <c r="C151" s="4">
        <v>47</v>
      </c>
      <c r="D151" s="8">
        <v>2.09</v>
      </c>
      <c r="E151" s="4">
        <v>29</v>
      </c>
      <c r="F151" s="8">
        <v>2.59</v>
      </c>
      <c r="G151" s="4">
        <v>18</v>
      </c>
      <c r="H151" s="8">
        <v>1.6</v>
      </c>
      <c r="I151" s="4">
        <v>0</v>
      </c>
    </row>
    <row r="152" spans="1:9" x14ac:dyDescent="0.2">
      <c r="A152" s="2">
        <v>17</v>
      </c>
      <c r="B152" s="1" t="s">
        <v>98</v>
      </c>
      <c r="C152" s="4">
        <v>34</v>
      </c>
      <c r="D152" s="8">
        <v>1.51</v>
      </c>
      <c r="E152" s="4">
        <v>26</v>
      </c>
      <c r="F152" s="8">
        <v>2.3199999999999998</v>
      </c>
      <c r="G152" s="4">
        <v>8</v>
      </c>
      <c r="H152" s="8">
        <v>0.71</v>
      </c>
      <c r="I152" s="4">
        <v>0</v>
      </c>
    </row>
    <row r="153" spans="1:9" x14ac:dyDescent="0.2">
      <c r="A153" s="2">
        <v>18</v>
      </c>
      <c r="B153" s="1" t="s">
        <v>101</v>
      </c>
      <c r="C153" s="4">
        <v>30</v>
      </c>
      <c r="D153" s="8">
        <v>1.33</v>
      </c>
      <c r="E153" s="4">
        <v>6</v>
      </c>
      <c r="F153" s="8">
        <v>0.54</v>
      </c>
      <c r="G153" s="4">
        <v>24</v>
      </c>
      <c r="H153" s="8">
        <v>2.13</v>
      </c>
      <c r="I153" s="4">
        <v>0</v>
      </c>
    </row>
    <row r="154" spans="1:9" x14ac:dyDescent="0.2">
      <c r="A154" s="2">
        <v>19</v>
      </c>
      <c r="B154" s="1" t="s">
        <v>79</v>
      </c>
      <c r="C154" s="4">
        <v>28</v>
      </c>
      <c r="D154" s="8">
        <v>1.24</v>
      </c>
      <c r="E154" s="4">
        <v>4</v>
      </c>
      <c r="F154" s="8">
        <v>0.36</v>
      </c>
      <c r="G154" s="4">
        <v>24</v>
      </c>
      <c r="H154" s="8">
        <v>2.13</v>
      </c>
      <c r="I154" s="4">
        <v>0</v>
      </c>
    </row>
    <row r="155" spans="1:9" x14ac:dyDescent="0.2">
      <c r="A155" s="2">
        <v>20</v>
      </c>
      <c r="B155" s="1" t="s">
        <v>97</v>
      </c>
      <c r="C155" s="4">
        <v>27</v>
      </c>
      <c r="D155" s="8">
        <v>1.2</v>
      </c>
      <c r="E155" s="4">
        <v>2</v>
      </c>
      <c r="F155" s="8">
        <v>0.18</v>
      </c>
      <c r="G155" s="4">
        <v>25</v>
      </c>
      <c r="H155" s="8">
        <v>2.2200000000000002</v>
      </c>
      <c r="I155" s="4">
        <v>0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89</v>
      </c>
      <c r="C158" s="4">
        <v>320</v>
      </c>
      <c r="D158" s="8">
        <v>12.46</v>
      </c>
      <c r="E158" s="4">
        <v>269</v>
      </c>
      <c r="F158" s="8">
        <v>21.54</v>
      </c>
      <c r="G158" s="4">
        <v>51</v>
      </c>
      <c r="H158" s="8">
        <v>3.89</v>
      </c>
      <c r="I158" s="4">
        <v>0</v>
      </c>
    </row>
    <row r="159" spans="1:9" x14ac:dyDescent="0.2">
      <c r="A159" s="2">
        <v>2</v>
      </c>
      <c r="B159" s="1" t="s">
        <v>85</v>
      </c>
      <c r="C159" s="4">
        <v>271</v>
      </c>
      <c r="D159" s="8">
        <v>10.55</v>
      </c>
      <c r="E159" s="4">
        <v>65</v>
      </c>
      <c r="F159" s="8">
        <v>5.2</v>
      </c>
      <c r="G159" s="4">
        <v>204</v>
      </c>
      <c r="H159" s="8">
        <v>15.55</v>
      </c>
      <c r="I159" s="4">
        <v>2</v>
      </c>
    </row>
    <row r="160" spans="1:9" x14ac:dyDescent="0.2">
      <c r="A160" s="2">
        <v>3</v>
      </c>
      <c r="B160" s="1" t="s">
        <v>88</v>
      </c>
      <c r="C160" s="4">
        <v>266</v>
      </c>
      <c r="D160" s="8">
        <v>10.36</v>
      </c>
      <c r="E160" s="4">
        <v>233</v>
      </c>
      <c r="F160" s="8">
        <v>18.649999999999999</v>
      </c>
      <c r="G160" s="4">
        <v>33</v>
      </c>
      <c r="H160" s="8">
        <v>2.52</v>
      </c>
      <c r="I160" s="4">
        <v>0</v>
      </c>
    </row>
    <row r="161" spans="1:9" x14ac:dyDescent="0.2">
      <c r="A161" s="2">
        <v>4</v>
      </c>
      <c r="B161" s="1" t="s">
        <v>83</v>
      </c>
      <c r="C161" s="4">
        <v>157</v>
      </c>
      <c r="D161" s="8">
        <v>6.11</v>
      </c>
      <c r="E161" s="4">
        <v>72</v>
      </c>
      <c r="F161" s="8">
        <v>5.76</v>
      </c>
      <c r="G161" s="4">
        <v>85</v>
      </c>
      <c r="H161" s="8">
        <v>6.48</v>
      </c>
      <c r="I161" s="4">
        <v>0</v>
      </c>
    </row>
    <row r="162" spans="1:9" x14ac:dyDescent="0.2">
      <c r="A162" s="2">
        <v>4</v>
      </c>
      <c r="B162" s="1" t="s">
        <v>91</v>
      </c>
      <c r="C162" s="4">
        <v>157</v>
      </c>
      <c r="D162" s="8">
        <v>6.11</v>
      </c>
      <c r="E162" s="4">
        <v>114</v>
      </c>
      <c r="F162" s="8">
        <v>9.1300000000000008</v>
      </c>
      <c r="G162" s="4">
        <v>42</v>
      </c>
      <c r="H162" s="8">
        <v>3.2</v>
      </c>
      <c r="I162" s="4">
        <v>1</v>
      </c>
    </row>
    <row r="163" spans="1:9" x14ac:dyDescent="0.2">
      <c r="A163" s="2">
        <v>6</v>
      </c>
      <c r="B163" s="1" t="s">
        <v>74</v>
      </c>
      <c r="C163" s="4">
        <v>133</v>
      </c>
      <c r="D163" s="8">
        <v>5.18</v>
      </c>
      <c r="E163" s="4">
        <v>17</v>
      </c>
      <c r="F163" s="8">
        <v>1.36</v>
      </c>
      <c r="G163" s="4">
        <v>116</v>
      </c>
      <c r="H163" s="8">
        <v>8.84</v>
      </c>
      <c r="I163" s="4">
        <v>0</v>
      </c>
    </row>
    <row r="164" spans="1:9" x14ac:dyDescent="0.2">
      <c r="A164" s="2">
        <v>6</v>
      </c>
      <c r="B164" s="1" t="s">
        <v>81</v>
      </c>
      <c r="C164" s="4">
        <v>133</v>
      </c>
      <c r="D164" s="8">
        <v>5.18</v>
      </c>
      <c r="E164" s="4">
        <v>87</v>
      </c>
      <c r="F164" s="8">
        <v>6.97</v>
      </c>
      <c r="G164" s="4">
        <v>46</v>
      </c>
      <c r="H164" s="8">
        <v>3.51</v>
      </c>
      <c r="I164" s="4">
        <v>0</v>
      </c>
    </row>
    <row r="165" spans="1:9" x14ac:dyDescent="0.2">
      <c r="A165" s="2">
        <v>8</v>
      </c>
      <c r="B165" s="1" t="s">
        <v>80</v>
      </c>
      <c r="C165" s="4">
        <v>110</v>
      </c>
      <c r="D165" s="8">
        <v>4.28</v>
      </c>
      <c r="E165" s="4">
        <v>44</v>
      </c>
      <c r="F165" s="8">
        <v>3.52</v>
      </c>
      <c r="G165" s="4">
        <v>66</v>
      </c>
      <c r="H165" s="8">
        <v>5.03</v>
      </c>
      <c r="I165" s="4">
        <v>0</v>
      </c>
    </row>
    <row r="166" spans="1:9" x14ac:dyDescent="0.2">
      <c r="A166" s="2">
        <v>8</v>
      </c>
      <c r="B166" s="1" t="s">
        <v>92</v>
      </c>
      <c r="C166" s="4">
        <v>110</v>
      </c>
      <c r="D166" s="8">
        <v>4.28</v>
      </c>
      <c r="E166" s="4">
        <v>89</v>
      </c>
      <c r="F166" s="8">
        <v>7.13</v>
      </c>
      <c r="G166" s="4">
        <v>21</v>
      </c>
      <c r="H166" s="8">
        <v>1.6</v>
      </c>
      <c r="I166" s="4">
        <v>0</v>
      </c>
    </row>
    <row r="167" spans="1:9" x14ac:dyDescent="0.2">
      <c r="A167" s="2">
        <v>10</v>
      </c>
      <c r="B167" s="1" t="s">
        <v>82</v>
      </c>
      <c r="C167" s="4">
        <v>77</v>
      </c>
      <c r="D167" s="8">
        <v>3</v>
      </c>
      <c r="E167" s="4">
        <v>44</v>
      </c>
      <c r="F167" s="8">
        <v>3.52</v>
      </c>
      <c r="G167" s="4">
        <v>33</v>
      </c>
      <c r="H167" s="8">
        <v>2.52</v>
      </c>
      <c r="I167" s="4">
        <v>0</v>
      </c>
    </row>
    <row r="168" spans="1:9" x14ac:dyDescent="0.2">
      <c r="A168" s="2">
        <v>11</v>
      </c>
      <c r="B168" s="1" t="s">
        <v>76</v>
      </c>
      <c r="C168" s="4">
        <v>75</v>
      </c>
      <c r="D168" s="8">
        <v>2.92</v>
      </c>
      <c r="E168" s="4">
        <v>16</v>
      </c>
      <c r="F168" s="8">
        <v>1.28</v>
      </c>
      <c r="G168" s="4">
        <v>59</v>
      </c>
      <c r="H168" s="8">
        <v>4.5</v>
      </c>
      <c r="I168" s="4">
        <v>0</v>
      </c>
    </row>
    <row r="169" spans="1:9" x14ac:dyDescent="0.2">
      <c r="A169" s="2">
        <v>11</v>
      </c>
      <c r="B169" s="1" t="s">
        <v>86</v>
      </c>
      <c r="C169" s="4">
        <v>75</v>
      </c>
      <c r="D169" s="8">
        <v>2.92</v>
      </c>
      <c r="E169" s="4">
        <v>42</v>
      </c>
      <c r="F169" s="8">
        <v>3.36</v>
      </c>
      <c r="G169" s="4">
        <v>33</v>
      </c>
      <c r="H169" s="8">
        <v>2.52</v>
      </c>
      <c r="I169" s="4">
        <v>0</v>
      </c>
    </row>
    <row r="170" spans="1:9" x14ac:dyDescent="0.2">
      <c r="A170" s="2">
        <v>11</v>
      </c>
      <c r="B170" s="1" t="s">
        <v>93</v>
      </c>
      <c r="C170" s="4">
        <v>75</v>
      </c>
      <c r="D170" s="8">
        <v>2.92</v>
      </c>
      <c r="E170" s="4">
        <v>1</v>
      </c>
      <c r="F170" s="8">
        <v>0.08</v>
      </c>
      <c r="G170" s="4">
        <v>73</v>
      </c>
      <c r="H170" s="8">
        <v>5.56</v>
      </c>
      <c r="I170" s="4">
        <v>0</v>
      </c>
    </row>
    <row r="171" spans="1:9" x14ac:dyDescent="0.2">
      <c r="A171" s="2">
        <v>14</v>
      </c>
      <c r="B171" s="1" t="s">
        <v>75</v>
      </c>
      <c r="C171" s="4">
        <v>73</v>
      </c>
      <c r="D171" s="8">
        <v>2.84</v>
      </c>
      <c r="E171" s="4">
        <v>19</v>
      </c>
      <c r="F171" s="8">
        <v>1.52</v>
      </c>
      <c r="G171" s="4">
        <v>54</v>
      </c>
      <c r="H171" s="8">
        <v>4.12</v>
      </c>
      <c r="I171" s="4">
        <v>0</v>
      </c>
    </row>
    <row r="172" spans="1:9" x14ac:dyDescent="0.2">
      <c r="A172" s="2">
        <v>15</v>
      </c>
      <c r="B172" s="1" t="s">
        <v>84</v>
      </c>
      <c r="C172" s="4">
        <v>72</v>
      </c>
      <c r="D172" s="8">
        <v>2.8</v>
      </c>
      <c r="E172" s="4">
        <v>9</v>
      </c>
      <c r="F172" s="8">
        <v>0.72</v>
      </c>
      <c r="G172" s="4">
        <v>63</v>
      </c>
      <c r="H172" s="8">
        <v>4.8</v>
      </c>
      <c r="I172" s="4">
        <v>0</v>
      </c>
    </row>
    <row r="173" spans="1:9" x14ac:dyDescent="0.2">
      <c r="A173" s="2">
        <v>16</v>
      </c>
      <c r="B173" s="1" t="s">
        <v>87</v>
      </c>
      <c r="C173" s="4">
        <v>50</v>
      </c>
      <c r="D173" s="8">
        <v>1.95</v>
      </c>
      <c r="E173" s="4">
        <v>18</v>
      </c>
      <c r="F173" s="8">
        <v>1.44</v>
      </c>
      <c r="G173" s="4">
        <v>32</v>
      </c>
      <c r="H173" s="8">
        <v>2.44</v>
      </c>
      <c r="I173" s="4">
        <v>0</v>
      </c>
    </row>
    <row r="174" spans="1:9" x14ac:dyDescent="0.2">
      <c r="A174" s="2">
        <v>17</v>
      </c>
      <c r="B174" s="1" t="s">
        <v>94</v>
      </c>
      <c r="C174" s="4">
        <v>32</v>
      </c>
      <c r="D174" s="8">
        <v>1.25</v>
      </c>
      <c r="E174" s="4">
        <v>3</v>
      </c>
      <c r="F174" s="8">
        <v>0.24</v>
      </c>
      <c r="G174" s="4">
        <v>29</v>
      </c>
      <c r="H174" s="8">
        <v>2.21</v>
      </c>
      <c r="I174" s="4">
        <v>0</v>
      </c>
    </row>
    <row r="175" spans="1:9" x14ac:dyDescent="0.2">
      <c r="A175" s="2">
        <v>18</v>
      </c>
      <c r="B175" s="1" t="s">
        <v>90</v>
      </c>
      <c r="C175" s="4">
        <v>31</v>
      </c>
      <c r="D175" s="8">
        <v>1.21</v>
      </c>
      <c r="E175" s="4">
        <v>16</v>
      </c>
      <c r="F175" s="8">
        <v>1.28</v>
      </c>
      <c r="G175" s="4">
        <v>15</v>
      </c>
      <c r="H175" s="8">
        <v>1.1399999999999999</v>
      </c>
      <c r="I175" s="4">
        <v>0</v>
      </c>
    </row>
    <row r="176" spans="1:9" x14ac:dyDescent="0.2">
      <c r="A176" s="2">
        <v>19</v>
      </c>
      <c r="B176" s="1" t="s">
        <v>102</v>
      </c>
      <c r="C176" s="4">
        <v>27</v>
      </c>
      <c r="D176" s="8">
        <v>1.05</v>
      </c>
      <c r="E176" s="4">
        <v>1</v>
      </c>
      <c r="F176" s="8">
        <v>0.08</v>
      </c>
      <c r="G176" s="4">
        <v>26</v>
      </c>
      <c r="H176" s="8">
        <v>1.98</v>
      </c>
      <c r="I176" s="4">
        <v>0</v>
      </c>
    </row>
    <row r="177" spans="1:9" x14ac:dyDescent="0.2">
      <c r="A177" s="2">
        <v>20</v>
      </c>
      <c r="B177" s="1" t="s">
        <v>101</v>
      </c>
      <c r="C177" s="4">
        <v>26</v>
      </c>
      <c r="D177" s="8">
        <v>1.01</v>
      </c>
      <c r="E177" s="4">
        <v>6</v>
      </c>
      <c r="F177" s="8">
        <v>0.48</v>
      </c>
      <c r="G177" s="4">
        <v>20</v>
      </c>
      <c r="H177" s="8">
        <v>1.52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89</v>
      </c>
      <c r="C180" s="4">
        <v>282</v>
      </c>
      <c r="D180" s="8">
        <v>10.61</v>
      </c>
      <c r="E180" s="4">
        <v>221</v>
      </c>
      <c r="F180" s="8">
        <v>19.04</v>
      </c>
      <c r="G180" s="4">
        <v>61</v>
      </c>
      <c r="H180" s="8">
        <v>4.0999999999999996</v>
      </c>
      <c r="I180" s="4">
        <v>0</v>
      </c>
    </row>
    <row r="181" spans="1:9" x14ac:dyDescent="0.2">
      <c r="A181" s="2">
        <v>2</v>
      </c>
      <c r="B181" s="1" t="s">
        <v>85</v>
      </c>
      <c r="C181" s="4">
        <v>237</v>
      </c>
      <c r="D181" s="8">
        <v>8.92</v>
      </c>
      <c r="E181" s="4">
        <v>49</v>
      </c>
      <c r="F181" s="8">
        <v>4.22</v>
      </c>
      <c r="G181" s="4">
        <v>188</v>
      </c>
      <c r="H181" s="8">
        <v>12.63</v>
      </c>
      <c r="I181" s="4">
        <v>0</v>
      </c>
    </row>
    <row r="182" spans="1:9" x14ac:dyDescent="0.2">
      <c r="A182" s="2">
        <v>3</v>
      </c>
      <c r="B182" s="1" t="s">
        <v>88</v>
      </c>
      <c r="C182" s="4">
        <v>233</v>
      </c>
      <c r="D182" s="8">
        <v>8.77</v>
      </c>
      <c r="E182" s="4">
        <v>208</v>
      </c>
      <c r="F182" s="8">
        <v>17.920000000000002</v>
      </c>
      <c r="G182" s="4">
        <v>25</v>
      </c>
      <c r="H182" s="8">
        <v>1.68</v>
      </c>
      <c r="I182" s="4">
        <v>0</v>
      </c>
    </row>
    <row r="183" spans="1:9" x14ac:dyDescent="0.2">
      <c r="A183" s="2">
        <v>4</v>
      </c>
      <c r="B183" s="1" t="s">
        <v>91</v>
      </c>
      <c r="C183" s="4">
        <v>175</v>
      </c>
      <c r="D183" s="8">
        <v>6.58</v>
      </c>
      <c r="E183" s="4">
        <v>138</v>
      </c>
      <c r="F183" s="8">
        <v>11.89</v>
      </c>
      <c r="G183" s="4">
        <v>35</v>
      </c>
      <c r="H183" s="8">
        <v>2.35</v>
      </c>
      <c r="I183" s="4">
        <v>1</v>
      </c>
    </row>
    <row r="184" spans="1:9" x14ac:dyDescent="0.2">
      <c r="A184" s="2">
        <v>5</v>
      </c>
      <c r="B184" s="1" t="s">
        <v>74</v>
      </c>
      <c r="C184" s="4">
        <v>162</v>
      </c>
      <c r="D184" s="8">
        <v>6.09</v>
      </c>
      <c r="E184" s="4">
        <v>28</v>
      </c>
      <c r="F184" s="8">
        <v>2.41</v>
      </c>
      <c r="G184" s="4">
        <v>134</v>
      </c>
      <c r="H184" s="8">
        <v>9.01</v>
      </c>
      <c r="I184" s="4">
        <v>0</v>
      </c>
    </row>
    <row r="185" spans="1:9" x14ac:dyDescent="0.2">
      <c r="A185" s="2">
        <v>6</v>
      </c>
      <c r="B185" s="1" t="s">
        <v>83</v>
      </c>
      <c r="C185" s="4">
        <v>143</v>
      </c>
      <c r="D185" s="8">
        <v>5.38</v>
      </c>
      <c r="E185" s="4">
        <v>66</v>
      </c>
      <c r="F185" s="8">
        <v>5.68</v>
      </c>
      <c r="G185" s="4">
        <v>77</v>
      </c>
      <c r="H185" s="8">
        <v>5.17</v>
      </c>
      <c r="I185" s="4">
        <v>0</v>
      </c>
    </row>
    <row r="186" spans="1:9" x14ac:dyDescent="0.2">
      <c r="A186" s="2">
        <v>7</v>
      </c>
      <c r="B186" s="1" t="s">
        <v>92</v>
      </c>
      <c r="C186" s="4">
        <v>117</v>
      </c>
      <c r="D186" s="8">
        <v>4.4000000000000004</v>
      </c>
      <c r="E186" s="4">
        <v>102</v>
      </c>
      <c r="F186" s="8">
        <v>8.7899999999999991</v>
      </c>
      <c r="G186" s="4">
        <v>15</v>
      </c>
      <c r="H186" s="8">
        <v>1.01</v>
      </c>
      <c r="I186" s="4">
        <v>0</v>
      </c>
    </row>
    <row r="187" spans="1:9" x14ac:dyDescent="0.2">
      <c r="A187" s="2">
        <v>8</v>
      </c>
      <c r="B187" s="1" t="s">
        <v>81</v>
      </c>
      <c r="C187" s="4">
        <v>109</v>
      </c>
      <c r="D187" s="8">
        <v>4.0999999999999996</v>
      </c>
      <c r="E187" s="4">
        <v>63</v>
      </c>
      <c r="F187" s="8">
        <v>5.43</v>
      </c>
      <c r="G187" s="4">
        <v>45</v>
      </c>
      <c r="H187" s="8">
        <v>3.02</v>
      </c>
      <c r="I187" s="4">
        <v>1</v>
      </c>
    </row>
    <row r="188" spans="1:9" x14ac:dyDescent="0.2">
      <c r="A188" s="2">
        <v>9</v>
      </c>
      <c r="B188" s="1" t="s">
        <v>75</v>
      </c>
      <c r="C188" s="4">
        <v>96</v>
      </c>
      <c r="D188" s="8">
        <v>3.61</v>
      </c>
      <c r="E188" s="4">
        <v>23</v>
      </c>
      <c r="F188" s="8">
        <v>1.98</v>
      </c>
      <c r="G188" s="4">
        <v>73</v>
      </c>
      <c r="H188" s="8">
        <v>4.91</v>
      </c>
      <c r="I188" s="4">
        <v>0</v>
      </c>
    </row>
    <row r="189" spans="1:9" x14ac:dyDescent="0.2">
      <c r="A189" s="2">
        <v>10</v>
      </c>
      <c r="B189" s="1" t="s">
        <v>80</v>
      </c>
      <c r="C189" s="4">
        <v>91</v>
      </c>
      <c r="D189" s="8">
        <v>3.42</v>
      </c>
      <c r="E189" s="4">
        <v>21</v>
      </c>
      <c r="F189" s="8">
        <v>1.81</v>
      </c>
      <c r="G189" s="4">
        <v>70</v>
      </c>
      <c r="H189" s="8">
        <v>4.7</v>
      </c>
      <c r="I189" s="4">
        <v>0</v>
      </c>
    </row>
    <row r="190" spans="1:9" x14ac:dyDescent="0.2">
      <c r="A190" s="2">
        <v>11</v>
      </c>
      <c r="B190" s="1" t="s">
        <v>76</v>
      </c>
      <c r="C190" s="4">
        <v>86</v>
      </c>
      <c r="D190" s="8">
        <v>3.24</v>
      </c>
      <c r="E190" s="4">
        <v>18</v>
      </c>
      <c r="F190" s="8">
        <v>1.55</v>
      </c>
      <c r="G190" s="4">
        <v>68</v>
      </c>
      <c r="H190" s="8">
        <v>4.57</v>
      </c>
      <c r="I190" s="4">
        <v>0</v>
      </c>
    </row>
    <row r="191" spans="1:9" x14ac:dyDescent="0.2">
      <c r="A191" s="2">
        <v>12</v>
      </c>
      <c r="B191" s="1" t="s">
        <v>82</v>
      </c>
      <c r="C191" s="4">
        <v>84</v>
      </c>
      <c r="D191" s="8">
        <v>3.16</v>
      </c>
      <c r="E191" s="4">
        <v>42</v>
      </c>
      <c r="F191" s="8">
        <v>3.62</v>
      </c>
      <c r="G191" s="4">
        <v>42</v>
      </c>
      <c r="H191" s="8">
        <v>2.82</v>
      </c>
      <c r="I191" s="4">
        <v>0</v>
      </c>
    </row>
    <row r="192" spans="1:9" x14ac:dyDescent="0.2">
      <c r="A192" s="2">
        <v>13</v>
      </c>
      <c r="B192" s="1" t="s">
        <v>86</v>
      </c>
      <c r="C192" s="4">
        <v>71</v>
      </c>
      <c r="D192" s="8">
        <v>2.67</v>
      </c>
      <c r="E192" s="4">
        <v>25</v>
      </c>
      <c r="F192" s="8">
        <v>2.15</v>
      </c>
      <c r="G192" s="4">
        <v>46</v>
      </c>
      <c r="H192" s="8">
        <v>3.09</v>
      </c>
      <c r="I192" s="4">
        <v>0</v>
      </c>
    </row>
    <row r="193" spans="1:9" x14ac:dyDescent="0.2">
      <c r="A193" s="2">
        <v>14</v>
      </c>
      <c r="B193" s="1" t="s">
        <v>87</v>
      </c>
      <c r="C193" s="4">
        <v>65</v>
      </c>
      <c r="D193" s="8">
        <v>2.4500000000000002</v>
      </c>
      <c r="E193" s="4">
        <v>19</v>
      </c>
      <c r="F193" s="8">
        <v>1.64</v>
      </c>
      <c r="G193" s="4">
        <v>46</v>
      </c>
      <c r="H193" s="8">
        <v>3.09</v>
      </c>
      <c r="I193" s="4">
        <v>0</v>
      </c>
    </row>
    <row r="194" spans="1:9" x14ac:dyDescent="0.2">
      <c r="A194" s="2">
        <v>15</v>
      </c>
      <c r="B194" s="1" t="s">
        <v>93</v>
      </c>
      <c r="C194" s="4">
        <v>62</v>
      </c>
      <c r="D194" s="8">
        <v>2.33</v>
      </c>
      <c r="E194" s="4">
        <v>2</v>
      </c>
      <c r="F194" s="8">
        <v>0.17</v>
      </c>
      <c r="G194" s="4">
        <v>58</v>
      </c>
      <c r="H194" s="8">
        <v>3.9</v>
      </c>
      <c r="I194" s="4">
        <v>0</v>
      </c>
    </row>
    <row r="195" spans="1:9" x14ac:dyDescent="0.2">
      <c r="A195" s="2">
        <v>16</v>
      </c>
      <c r="B195" s="1" t="s">
        <v>90</v>
      </c>
      <c r="C195" s="4">
        <v>54</v>
      </c>
      <c r="D195" s="8">
        <v>2.0299999999999998</v>
      </c>
      <c r="E195" s="4">
        <v>18</v>
      </c>
      <c r="F195" s="8">
        <v>1.55</v>
      </c>
      <c r="G195" s="4">
        <v>36</v>
      </c>
      <c r="H195" s="8">
        <v>2.42</v>
      </c>
      <c r="I195" s="4">
        <v>0</v>
      </c>
    </row>
    <row r="196" spans="1:9" x14ac:dyDescent="0.2">
      <c r="A196" s="2">
        <v>17</v>
      </c>
      <c r="B196" s="1" t="s">
        <v>79</v>
      </c>
      <c r="C196" s="4">
        <v>44</v>
      </c>
      <c r="D196" s="8">
        <v>1.66</v>
      </c>
      <c r="E196" s="4">
        <v>5</v>
      </c>
      <c r="F196" s="8">
        <v>0.43</v>
      </c>
      <c r="G196" s="4">
        <v>39</v>
      </c>
      <c r="H196" s="8">
        <v>2.62</v>
      </c>
      <c r="I196" s="4">
        <v>0</v>
      </c>
    </row>
    <row r="197" spans="1:9" x14ac:dyDescent="0.2">
      <c r="A197" s="2">
        <v>18</v>
      </c>
      <c r="B197" s="1" t="s">
        <v>94</v>
      </c>
      <c r="C197" s="4">
        <v>39</v>
      </c>
      <c r="D197" s="8">
        <v>1.47</v>
      </c>
      <c r="E197" s="4">
        <v>0</v>
      </c>
      <c r="F197" s="8">
        <v>0</v>
      </c>
      <c r="G197" s="4">
        <v>38</v>
      </c>
      <c r="H197" s="8">
        <v>2.5499999999999998</v>
      </c>
      <c r="I197" s="4">
        <v>1</v>
      </c>
    </row>
    <row r="198" spans="1:9" x14ac:dyDescent="0.2">
      <c r="A198" s="2">
        <v>19</v>
      </c>
      <c r="B198" s="1" t="s">
        <v>84</v>
      </c>
      <c r="C198" s="4">
        <v>33</v>
      </c>
      <c r="D198" s="8">
        <v>1.24</v>
      </c>
      <c r="E198" s="4">
        <v>9</v>
      </c>
      <c r="F198" s="8">
        <v>0.78</v>
      </c>
      <c r="G198" s="4">
        <v>24</v>
      </c>
      <c r="H198" s="8">
        <v>1.61</v>
      </c>
      <c r="I198" s="4">
        <v>0</v>
      </c>
    </row>
    <row r="199" spans="1:9" x14ac:dyDescent="0.2">
      <c r="A199" s="2">
        <v>20</v>
      </c>
      <c r="B199" s="1" t="s">
        <v>97</v>
      </c>
      <c r="C199" s="4">
        <v>32</v>
      </c>
      <c r="D199" s="8">
        <v>1.2</v>
      </c>
      <c r="E199" s="4">
        <v>5</v>
      </c>
      <c r="F199" s="8">
        <v>0.43</v>
      </c>
      <c r="G199" s="4">
        <v>27</v>
      </c>
      <c r="H199" s="8">
        <v>1.81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88</v>
      </c>
      <c r="C202" s="4">
        <v>2068</v>
      </c>
      <c r="D202" s="8">
        <v>20.98</v>
      </c>
      <c r="E202" s="4">
        <v>1769</v>
      </c>
      <c r="F202" s="8">
        <v>40.32</v>
      </c>
      <c r="G202" s="4">
        <v>299</v>
      </c>
      <c r="H202" s="8">
        <v>5.5</v>
      </c>
      <c r="I202" s="4">
        <v>0</v>
      </c>
    </row>
    <row r="203" spans="1:9" x14ac:dyDescent="0.2">
      <c r="A203" s="2">
        <v>2</v>
      </c>
      <c r="B203" s="1" t="s">
        <v>86</v>
      </c>
      <c r="C203" s="4">
        <v>915</v>
      </c>
      <c r="D203" s="8">
        <v>9.2799999999999994</v>
      </c>
      <c r="E203" s="4">
        <v>627</v>
      </c>
      <c r="F203" s="8">
        <v>14.29</v>
      </c>
      <c r="G203" s="4">
        <v>282</v>
      </c>
      <c r="H203" s="8">
        <v>5.19</v>
      </c>
      <c r="I203" s="4">
        <v>6</v>
      </c>
    </row>
    <row r="204" spans="1:9" x14ac:dyDescent="0.2">
      <c r="A204" s="2">
        <v>3</v>
      </c>
      <c r="B204" s="1" t="s">
        <v>85</v>
      </c>
      <c r="C204" s="4">
        <v>858</v>
      </c>
      <c r="D204" s="8">
        <v>8.6999999999999993</v>
      </c>
      <c r="E204" s="4">
        <v>192</v>
      </c>
      <c r="F204" s="8">
        <v>4.38</v>
      </c>
      <c r="G204" s="4">
        <v>662</v>
      </c>
      <c r="H204" s="8">
        <v>12.18</v>
      </c>
      <c r="I204" s="4">
        <v>4</v>
      </c>
    </row>
    <row r="205" spans="1:9" x14ac:dyDescent="0.2">
      <c r="A205" s="2">
        <v>4</v>
      </c>
      <c r="B205" s="1" t="s">
        <v>83</v>
      </c>
      <c r="C205" s="4">
        <v>602</v>
      </c>
      <c r="D205" s="8">
        <v>6.11</v>
      </c>
      <c r="E205" s="4">
        <v>245</v>
      </c>
      <c r="F205" s="8">
        <v>5.58</v>
      </c>
      <c r="G205" s="4">
        <v>355</v>
      </c>
      <c r="H205" s="8">
        <v>6.53</v>
      </c>
      <c r="I205" s="4">
        <v>2</v>
      </c>
    </row>
    <row r="206" spans="1:9" x14ac:dyDescent="0.2">
      <c r="A206" s="2">
        <v>5</v>
      </c>
      <c r="B206" s="1" t="s">
        <v>80</v>
      </c>
      <c r="C206" s="4">
        <v>573</v>
      </c>
      <c r="D206" s="8">
        <v>5.81</v>
      </c>
      <c r="E206" s="4">
        <v>205</v>
      </c>
      <c r="F206" s="8">
        <v>4.67</v>
      </c>
      <c r="G206" s="4">
        <v>368</v>
      </c>
      <c r="H206" s="8">
        <v>6.77</v>
      </c>
      <c r="I206" s="4">
        <v>0</v>
      </c>
    </row>
    <row r="207" spans="1:9" x14ac:dyDescent="0.2">
      <c r="A207" s="2">
        <v>6</v>
      </c>
      <c r="B207" s="1" t="s">
        <v>89</v>
      </c>
      <c r="C207" s="4">
        <v>529</v>
      </c>
      <c r="D207" s="8">
        <v>5.37</v>
      </c>
      <c r="E207" s="4">
        <v>395</v>
      </c>
      <c r="F207" s="8">
        <v>9</v>
      </c>
      <c r="G207" s="4">
        <v>134</v>
      </c>
      <c r="H207" s="8">
        <v>2.4700000000000002</v>
      </c>
      <c r="I207" s="4">
        <v>0</v>
      </c>
    </row>
    <row r="208" spans="1:9" x14ac:dyDescent="0.2">
      <c r="A208" s="2">
        <v>7</v>
      </c>
      <c r="B208" s="1" t="s">
        <v>81</v>
      </c>
      <c r="C208" s="4">
        <v>298</v>
      </c>
      <c r="D208" s="8">
        <v>3.02</v>
      </c>
      <c r="E208" s="4">
        <v>155</v>
      </c>
      <c r="F208" s="8">
        <v>3.53</v>
      </c>
      <c r="G208" s="4">
        <v>143</v>
      </c>
      <c r="H208" s="8">
        <v>2.63</v>
      </c>
      <c r="I208" s="4">
        <v>0</v>
      </c>
    </row>
    <row r="209" spans="1:9" x14ac:dyDescent="0.2">
      <c r="A209" s="2">
        <v>8</v>
      </c>
      <c r="B209" s="1" t="s">
        <v>87</v>
      </c>
      <c r="C209" s="4">
        <v>278</v>
      </c>
      <c r="D209" s="8">
        <v>2.82</v>
      </c>
      <c r="E209" s="4">
        <v>66</v>
      </c>
      <c r="F209" s="8">
        <v>1.5</v>
      </c>
      <c r="G209" s="4">
        <v>212</v>
      </c>
      <c r="H209" s="8">
        <v>3.9</v>
      </c>
      <c r="I209" s="4">
        <v>0</v>
      </c>
    </row>
    <row r="210" spans="1:9" x14ac:dyDescent="0.2">
      <c r="A210" s="2">
        <v>9</v>
      </c>
      <c r="B210" s="1" t="s">
        <v>92</v>
      </c>
      <c r="C210" s="4">
        <v>267</v>
      </c>
      <c r="D210" s="8">
        <v>2.71</v>
      </c>
      <c r="E210" s="4">
        <v>219</v>
      </c>
      <c r="F210" s="8">
        <v>4.99</v>
      </c>
      <c r="G210" s="4">
        <v>47</v>
      </c>
      <c r="H210" s="8">
        <v>0.86</v>
      </c>
      <c r="I210" s="4">
        <v>1</v>
      </c>
    </row>
    <row r="211" spans="1:9" x14ac:dyDescent="0.2">
      <c r="A211" s="2">
        <v>10</v>
      </c>
      <c r="B211" s="1" t="s">
        <v>84</v>
      </c>
      <c r="C211" s="4">
        <v>249</v>
      </c>
      <c r="D211" s="8">
        <v>2.5299999999999998</v>
      </c>
      <c r="E211" s="4">
        <v>23</v>
      </c>
      <c r="F211" s="8">
        <v>0.52</v>
      </c>
      <c r="G211" s="4">
        <v>226</v>
      </c>
      <c r="H211" s="8">
        <v>4.16</v>
      </c>
      <c r="I211" s="4">
        <v>0</v>
      </c>
    </row>
    <row r="212" spans="1:9" x14ac:dyDescent="0.2">
      <c r="A212" s="2">
        <v>11</v>
      </c>
      <c r="B212" s="1" t="s">
        <v>91</v>
      </c>
      <c r="C212" s="4">
        <v>245</v>
      </c>
      <c r="D212" s="8">
        <v>2.4900000000000002</v>
      </c>
      <c r="E212" s="4">
        <v>122</v>
      </c>
      <c r="F212" s="8">
        <v>2.78</v>
      </c>
      <c r="G212" s="4">
        <v>118</v>
      </c>
      <c r="H212" s="8">
        <v>2.17</v>
      </c>
      <c r="I212" s="4">
        <v>2</v>
      </c>
    </row>
    <row r="213" spans="1:9" x14ac:dyDescent="0.2">
      <c r="A213" s="2">
        <v>12</v>
      </c>
      <c r="B213" s="1" t="s">
        <v>79</v>
      </c>
      <c r="C213" s="4">
        <v>222</v>
      </c>
      <c r="D213" s="8">
        <v>2.25</v>
      </c>
      <c r="E213" s="4">
        <v>22</v>
      </c>
      <c r="F213" s="8">
        <v>0.5</v>
      </c>
      <c r="G213" s="4">
        <v>200</v>
      </c>
      <c r="H213" s="8">
        <v>3.68</v>
      </c>
      <c r="I213" s="4">
        <v>0</v>
      </c>
    </row>
    <row r="214" spans="1:9" x14ac:dyDescent="0.2">
      <c r="A214" s="2">
        <v>13</v>
      </c>
      <c r="B214" s="1" t="s">
        <v>74</v>
      </c>
      <c r="C214" s="4">
        <v>219</v>
      </c>
      <c r="D214" s="8">
        <v>2.2200000000000002</v>
      </c>
      <c r="E214" s="4">
        <v>6</v>
      </c>
      <c r="F214" s="8">
        <v>0.14000000000000001</v>
      </c>
      <c r="G214" s="4">
        <v>212</v>
      </c>
      <c r="H214" s="8">
        <v>3.9</v>
      </c>
      <c r="I214" s="4">
        <v>1</v>
      </c>
    </row>
    <row r="215" spans="1:9" x14ac:dyDescent="0.2">
      <c r="A215" s="2">
        <v>14</v>
      </c>
      <c r="B215" s="1" t="s">
        <v>78</v>
      </c>
      <c r="C215" s="4">
        <v>207</v>
      </c>
      <c r="D215" s="8">
        <v>2.1</v>
      </c>
      <c r="E215" s="4">
        <v>7</v>
      </c>
      <c r="F215" s="8">
        <v>0.16</v>
      </c>
      <c r="G215" s="4">
        <v>200</v>
      </c>
      <c r="H215" s="8">
        <v>3.68</v>
      </c>
      <c r="I215" s="4">
        <v>0</v>
      </c>
    </row>
    <row r="216" spans="1:9" x14ac:dyDescent="0.2">
      <c r="A216" s="2">
        <v>15</v>
      </c>
      <c r="B216" s="1" t="s">
        <v>94</v>
      </c>
      <c r="C216" s="4">
        <v>197</v>
      </c>
      <c r="D216" s="8">
        <v>2</v>
      </c>
      <c r="E216" s="4">
        <v>16</v>
      </c>
      <c r="F216" s="8">
        <v>0.36</v>
      </c>
      <c r="G216" s="4">
        <v>178</v>
      </c>
      <c r="H216" s="8">
        <v>3.28</v>
      </c>
      <c r="I216" s="4">
        <v>3</v>
      </c>
    </row>
    <row r="217" spans="1:9" x14ac:dyDescent="0.2">
      <c r="A217" s="2">
        <v>16</v>
      </c>
      <c r="B217" s="1" t="s">
        <v>90</v>
      </c>
      <c r="C217" s="4">
        <v>142</v>
      </c>
      <c r="D217" s="8">
        <v>1.44</v>
      </c>
      <c r="E217" s="4">
        <v>50</v>
      </c>
      <c r="F217" s="8">
        <v>1.1399999999999999</v>
      </c>
      <c r="G217" s="4">
        <v>92</v>
      </c>
      <c r="H217" s="8">
        <v>1.69</v>
      </c>
      <c r="I217" s="4">
        <v>0</v>
      </c>
    </row>
    <row r="218" spans="1:9" x14ac:dyDescent="0.2">
      <c r="A218" s="2">
        <v>17</v>
      </c>
      <c r="B218" s="1" t="s">
        <v>95</v>
      </c>
      <c r="C218" s="4">
        <v>141</v>
      </c>
      <c r="D218" s="8">
        <v>1.43</v>
      </c>
      <c r="E218" s="4">
        <v>18</v>
      </c>
      <c r="F218" s="8">
        <v>0.41</v>
      </c>
      <c r="G218" s="4">
        <v>123</v>
      </c>
      <c r="H218" s="8">
        <v>2.2599999999999998</v>
      </c>
      <c r="I218" s="4">
        <v>0</v>
      </c>
    </row>
    <row r="219" spans="1:9" x14ac:dyDescent="0.2">
      <c r="A219" s="2">
        <v>18</v>
      </c>
      <c r="B219" s="1" t="s">
        <v>76</v>
      </c>
      <c r="C219" s="4">
        <v>137</v>
      </c>
      <c r="D219" s="8">
        <v>1.39</v>
      </c>
      <c r="E219" s="4">
        <v>8</v>
      </c>
      <c r="F219" s="8">
        <v>0.18</v>
      </c>
      <c r="G219" s="4">
        <v>129</v>
      </c>
      <c r="H219" s="8">
        <v>2.37</v>
      </c>
      <c r="I219" s="4">
        <v>0</v>
      </c>
    </row>
    <row r="220" spans="1:9" x14ac:dyDescent="0.2">
      <c r="A220" s="2">
        <v>19</v>
      </c>
      <c r="B220" s="1" t="s">
        <v>97</v>
      </c>
      <c r="C220" s="4">
        <v>108</v>
      </c>
      <c r="D220" s="8">
        <v>1.1000000000000001</v>
      </c>
      <c r="E220" s="4">
        <v>6</v>
      </c>
      <c r="F220" s="8">
        <v>0.14000000000000001</v>
      </c>
      <c r="G220" s="4">
        <v>102</v>
      </c>
      <c r="H220" s="8">
        <v>1.88</v>
      </c>
      <c r="I220" s="4">
        <v>0</v>
      </c>
    </row>
    <row r="221" spans="1:9" x14ac:dyDescent="0.2">
      <c r="A221" s="2">
        <v>20</v>
      </c>
      <c r="B221" s="1" t="s">
        <v>75</v>
      </c>
      <c r="C221" s="4">
        <v>107</v>
      </c>
      <c r="D221" s="8">
        <v>1.0900000000000001</v>
      </c>
      <c r="E221" s="4">
        <v>14</v>
      </c>
      <c r="F221" s="8">
        <v>0.32</v>
      </c>
      <c r="G221" s="4">
        <v>92</v>
      </c>
      <c r="H221" s="8">
        <v>1.69</v>
      </c>
      <c r="I221" s="4">
        <v>1</v>
      </c>
    </row>
    <row r="222" spans="1:9" x14ac:dyDescent="0.2">
      <c r="A222" s="2">
        <v>20</v>
      </c>
      <c r="B222" s="1" t="s">
        <v>103</v>
      </c>
      <c r="C222" s="4">
        <v>107</v>
      </c>
      <c r="D222" s="8">
        <v>1.0900000000000001</v>
      </c>
      <c r="E222" s="4">
        <v>7</v>
      </c>
      <c r="F222" s="8">
        <v>0.16</v>
      </c>
      <c r="G222" s="4">
        <v>100</v>
      </c>
      <c r="H222" s="8">
        <v>1.84</v>
      </c>
      <c r="I222" s="4">
        <v>0</v>
      </c>
    </row>
    <row r="223" spans="1:9" x14ac:dyDescent="0.2">
      <c r="A223" s="1"/>
      <c r="C223" s="4"/>
      <c r="D223" s="8"/>
      <c r="E223" s="4"/>
      <c r="F223" s="8"/>
      <c r="G223" s="4"/>
      <c r="H223" s="8"/>
      <c r="I223" s="4"/>
    </row>
    <row r="224" spans="1:9" x14ac:dyDescent="0.2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2">
      <c r="A225" s="2">
        <v>1</v>
      </c>
      <c r="B225" s="1" t="s">
        <v>85</v>
      </c>
      <c r="C225" s="4">
        <v>319</v>
      </c>
      <c r="D225" s="8">
        <v>10.39</v>
      </c>
      <c r="E225" s="4">
        <v>79</v>
      </c>
      <c r="F225" s="8">
        <v>7.57</v>
      </c>
      <c r="G225" s="4">
        <v>240</v>
      </c>
      <c r="H225" s="8">
        <v>11.92</v>
      </c>
      <c r="I225" s="4">
        <v>0</v>
      </c>
    </row>
    <row r="226" spans="1:9" x14ac:dyDescent="0.2">
      <c r="A226" s="2">
        <v>2</v>
      </c>
      <c r="B226" s="1" t="s">
        <v>74</v>
      </c>
      <c r="C226" s="4">
        <v>218</v>
      </c>
      <c r="D226" s="8">
        <v>7.1</v>
      </c>
      <c r="E226" s="4">
        <v>33</v>
      </c>
      <c r="F226" s="8">
        <v>3.16</v>
      </c>
      <c r="G226" s="4">
        <v>185</v>
      </c>
      <c r="H226" s="8">
        <v>9.19</v>
      </c>
      <c r="I226" s="4">
        <v>0</v>
      </c>
    </row>
    <row r="227" spans="1:9" x14ac:dyDescent="0.2">
      <c r="A227" s="2">
        <v>3</v>
      </c>
      <c r="B227" s="1" t="s">
        <v>89</v>
      </c>
      <c r="C227" s="4">
        <v>197</v>
      </c>
      <c r="D227" s="8">
        <v>6.42</v>
      </c>
      <c r="E227" s="4">
        <v>153</v>
      </c>
      <c r="F227" s="8">
        <v>14.66</v>
      </c>
      <c r="G227" s="4">
        <v>44</v>
      </c>
      <c r="H227" s="8">
        <v>2.1800000000000002</v>
      </c>
      <c r="I227" s="4">
        <v>0</v>
      </c>
    </row>
    <row r="228" spans="1:9" x14ac:dyDescent="0.2">
      <c r="A228" s="2">
        <v>4</v>
      </c>
      <c r="B228" s="1" t="s">
        <v>75</v>
      </c>
      <c r="C228" s="4">
        <v>139</v>
      </c>
      <c r="D228" s="8">
        <v>4.53</v>
      </c>
      <c r="E228" s="4">
        <v>29</v>
      </c>
      <c r="F228" s="8">
        <v>2.78</v>
      </c>
      <c r="G228" s="4">
        <v>110</v>
      </c>
      <c r="H228" s="8">
        <v>5.46</v>
      </c>
      <c r="I228" s="4">
        <v>0</v>
      </c>
    </row>
    <row r="229" spans="1:9" x14ac:dyDescent="0.2">
      <c r="A229" s="2">
        <v>5</v>
      </c>
      <c r="B229" s="1" t="s">
        <v>83</v>
      </c>
      <c r="C229" s="4">
        <v>133</v>
      </c>
      <c r="D229" s="8">
        <v>4.33</v>
      </c>
      <c r="E229" s="4">
        <v>55</v>
      </c>
      <c r="F229" s="8">
        <v>5.27</v>
      </c>
      <c r="G229" s="4">
        <v>78</v>
      </c>
      <c r="H229" s="8">
        <v>3.87</v>
      </c>
      <c r="I229" s="4">
        <v>0</v>
      </c>
    </row>
    <row r="230" spans="1:9" x14ac:dyDescent="0.2">
      <c r="A230" s="2">
        <v>6</v>
      </c>
      <c r="B230" s="1" t="s">
        <v>76</v>
      </c>
      <c r="C230" s="4">
        <v>130</v>
      </c>
      <c r="D230" s="8">
        <v>4.24</v>
      </c>
      <c r="E230" s="4">
        <v>21</v>
      </c>
      <c r="F230" s="8">
        <v>2.0099999999999998</v>
      </c>
      <c r="G230" s="4">
        <v>109</v>
      </c>
      <c r="H230" s="8">
        <v>5.41</v>
      </c>
      <c r="I230" s="4">
        <v>0</v>
      </c>
    </row>
    <row r="231" spans="1:9" x14ac:dyDescent="0.2">
      <c r="A231" s="2">
        <v>7</v>
      </c>
      <c r="B231" s="1" t="s">
        <v>88</v>
      </c>
      <c r="C231" s="4">
        <v>129</v>
      </c>
      <c r="D231" s="8">
        <v>4.2</v>
      </c>
      <c r="E231" s="4">
        <v>104</v>
      </c>
      <c r="F231" s="8">
        <v>9.9600000000000009</v>
      </c>
      <c r="G231" s="4">
        <v>25</v>
      </c>
      <c r="H231" s="8">
        <v>1.24</v>
      </c>
      <c r="I231" s="4">
        <v>0</v>
      </c>
    </row>
    <row r="232" spans="1:9" x14ac:dyDescent="0.2">
      <c r="A232" s="2">
        <v>8</v>
      </c>
      <c r="B232" s="1" t="s">
        <v>91</v>
      </c>
      <c r="C232" s="4">
        <v>125</v>
      </c>
      <c r="D232" s="8">
        <v>4.07</v>
      </c>
      <c r="E232" s="4">
        <v>84</v>
      </c>
      <c r="F232" s="8">
        <v>8.0500000000000007</v>
      </c>
      <c r="G232" s="4">
        <v>41</v>
      </c>
      <c r="H232" s="8">
        <v>2.04</v>
      </c>
      <c r="I232" s="4">
        <v>0</v>
      </c>
    </row>
    <row r="233" spans="1:9" x14ac:dyDescent="0.2">
      <c r="A233" s="2">
        <v>9</v>
      </c>
      <c r="B233" s="1" t="s">
        <v>82</v>
      </c>
      <c r="C233" s="4">
        <v>116</v>
      </c>
      <c r="D233" s="8">
        <v>3.78</v>
      </c>
      <c r="E233" s="4">
        <v>63</v>
      </c>
      <c r="F233" s="8">
        <v>6.03</v>
      </c>
      <c r="G233" s="4">
        <v>53</v>
      </c>
      <c r="H233" s="8">
        <v>2.63</v>
      </c>
      <c r="I233" s="4">
        <v>0</v>
      </c>
    </row>
    <row r="234" spans="1:9" x14ac:dyDescent="0.2">
      <c r="A234" s="2">
        <v>10</v>
      </c>
      <c r="B234" s="1" t="s">
        <v>92</v>
      </c>
      <c r="C234" s="4">
        <v>88</v>
      </c>
      <c r="D234" s="8">
        <v>2.87</v>
      </c>
      <c r="E234" s="4">
        <v>68</v>
      </c>
      <c r="F234" s="8">
        <v>6.51</v>
      </c>
      <c r="G234" s="4">
        <v>20</v>
      </c>
      <c r="H234" s="8">
        <v>0.99</v>
      </c>
      <c r="I234" s="4">
        <v>0</v>
      </c>
    </row>
    <row r="235" spans="1:9" x14ac:dyDescent="0.2">
      <c r="A235" s="2">
        <v>11</v>
      </c>
      <c r="B235" s="1" t="s">
        <v>81</v>
      </c>
      <c r="C235" s="4">
        <v>85</v>
      </c>
      <c r="D235" s="8">
        <v>2.77</v>
      </c>
      <c r="E235" s="4">
        <v>49</v>
      </c>
      <c r="F235" s="8">
        <v>4.6900000000000004</v>
      </c>
      <c r="G235" s="4">
        <v>35</v>
      </c>
      <c r="H235" s="8">
        <v>1.74</v>
      </c>
      <c r="I235" s="4">
        <v>1</v>
      </c>
    </row>
    <row r="236" spans="1:9" x14ac:dyDescent="0.2">
      <c r="A236" s="2">
        <v>12</v>
      </c>
      <c r="B236" s="1" t="s">
        <v>77</v>
      </c>
      <c r="C236" s="4">
        <v>78</v>
      </c>
      <c r="D236" s="8">
        <v>2.54</v>
      </c>
      <c r="E236" s="4">
        <v>24</v>
      </c>
      <c r="F236" s="8">
        <v>2.2999999999999998</v>
      </c>
      <c r="G236" s="4">
        <v>54</v>
      </c>
      <c r="H236" s="8">
        <v>2.68</v>
      </c>
      <c r="I236" s="4">
        <v>0</v>
      </c>
    </row>
    <row r="237" spans="1:9" x14ac:dyDescent="0.2">
      <c r="A237" s="2">
        <v>13</v>
      </c>
      <c r="B237" s="1" t="s">
        <v>104</v>
      </c>
      <c r="C237" s="4">
        <v>77</v>
      </c>
      <c r="D237" s="8">
        <v>2.5099999999999998</v>
      </c>
      <c r="E237" s="4">
        <v>50</v>
      </c>
      <c r="F237" s="8">
        <v>4.79</v>
      </c>
      <c r="G237" s="4">
        <v>27</v>
      </c>
      <c r="H237" s="8">
        <v>1.34</v>
      </c>
      <c r="I237" s="4">
        <v>0</v>
      </c>
    </row>
    <row r="238" spans="1:9" x14ac:dyDescent="0.2">
      <c r="A238" s="2">
        <v>14</v>
      </c>
      <c r="B238" s="1" t="s">
        <v>87</v>
      </c>
      <c r="C238" s="4">
        <v>75</v>
      </c>
      <c r="D238" s="8">
        <v>2.44</v>
      </c>
      <c r="E238" s="4">
        <v>23</v>
      </c>
      <c r="F238" s="8">
        <v>2.2000000000000002</v>
      </c>
      <c r="G238" s="4">
        <v>51</v>
      </c>
      <c r="H238" s="8">
        <v>2.5299999999999998</v>
      </c>
      <c r="I238" s="4">
        <v>0</v>
      </c>
    </row>
    <row r="239" spans="1:9" x14ac:dyDescent="0.2">
      <c r="A239" s="2">
        <v>15</v>
      </c>
      <c r="B239" s="1" t="s">
        <v>97</v>
      </c>
      <c r="C239" s="4">
        <v>74</v>
      </c>
      <c r="D239" s="8">
        <v>2.41</v>
      </c>
      <c r="E239" s="4">
        <v>9</v>
      </c>
      <c r="F239" s="8">
        <v>0.86</v>
      </c>
      <c r="G239" s="4">
        <v>65</v>
      </c>
      <c r="H239" s="8">
        <v>3.23</v>
      </c>
      <c r="I239" s="4">
        <v>0</v>
      </c>
    </row>
    <row r="240" spans="1:9" x14ac:dyDescent="0.2">
      <c r="A240" s="2">
        <v>16</v>
      </c>
      <c r="B240" s="1" t="s">
        <v>78</v>
      </c>
      <c r="C240" s="4">
        <v>72</v>
      </c>
      <c r="D240" s="8">
        <v>2.35</v>
      </c>
      <c r="E240" s="4">
        <v>9</v>
      </c>
      <c r="F240" s="8">
        <v>0.86</v>
      </c>
      <c r="G240" s="4">
        <v>63</v>
      </c>
      <c r="H240" s="8">
        <v>3.13</v>
      </c>
      <c r="I240" s="4">
        <v>0</v>
      </c>
    </row>
    <row r="241" spans="1:9" x14ac:dyDescent="0.2">
      <c r="A241" s="2">
        <v>17</v>
      </c>
      <c r="B241" s="1" t="s">
        <v>86</v>
      </c>
      <c r="C241" s="4">
        <v>70</v>
      </c>
      <c r="D241" s="8">
        <v>2.2799999999999998</v>
      </c>
      <c r="E241" s="4">
        <v>28</v>
      </c>
      <c r="F241" s="8">
        <v>2.68</v>
      </c>
      <c r="G241" s="4">
        <v>42</v>
      </c>
      <c r="H241" s="8">
        <v>2.09</v>
      </c>
      <c r="I241" s="4">
        <v>0</v>
      </c>
    </row>
    <row r="242" spans="1:9" x14ac:dyDescent="0.2">
      <c r="A242" s="2">
        <v>18</v>
      </c>
      <c r="B242" s="1" t="s">
        <v>93</v>
      </c>
      <c r="C242" s="4">
        <v>64</v>
      </c>
      <c r="D242" s="8">
        <v>2.09</v>
      </c>
      <c r="E242" s="4">
        <v>2</v>
      </c>
      <c r="F242" s="8">
        <v>0.19</v>
      </c>
      <c r="G242" s="4">
        <v>61</v>
      </c>
      <c r="H242" s="8">
        <v>3.03</v>
      </c>
      <c r="I242" s="4">
        <v>0</v>
      </c>
    </row>
    <row r="243" spans="1:9" x14ac:dyDescent="0.2">
      <c r="A243" s="2">
        <v>19</v>
      </c>
      <c r="B243" s="1" t="s">
        <v>100</v>
      </c>
      <c r="C243" s="4">
        <v>58</v>
      </c>
      <c r="D243" s="8">
        <v>1.89</v>
      </c>
      <c r="E243" s="4">
        <v>14</v>
      </c>
      <c r="F243" s="8">
        <v>1.34</v>
      </c>
      <c r="G243" s="4">
        <v>44</v>
      </c>
      <c r="H243" s="8">
        <v>2.1800000000000002</v>
      </c>
      <c r="I243" s="4">
        <v>0</v>
      </c>
    </row>
    <row r="244" spans="1:9" x14ac:dyDescent="0.2">
      <c r="A244" s="2">
        <v>20</v>
      </c>
      <c r="B244" s="1" t="s">
        <v>90</v>
      </c>
      <c r="C244" s="4">
        <v>47</v>
      </c>
      <c r="D244" s="8">
        <v>1.53</v>
      </c>
      <c r="E244" s="4">
        <v>18</v>
      </c>
      <c r="F244" s="8">
        <v>1.72</v>
      </c>
      <c r="G244" s="4">
        <v>28</v>
      </c>
      <c r="H244" s="8">
        <v>1.39</v>
      </c>
      <c r="I244" s="4">
        <v>0</v>
      </c>
    </row>
    <row r="245" spans="1:9" x14ac:dyDescent="0.2">
      <c r="A245" s="2">
        <v>20</v>
      </c>
      <c r="B245" s="1" t="s">
        <v>94</v>
      </c>
      <c r="C245" s="4">
        <v>47</v>
      </c>
      <c r="D245" s="8">
        <v>1.53</v>
      </c>
      <c r="E245" s="4">
        <v>5</v>
      </c>
      <c r="F245" s="8">
        <v>0.48</v>
      </c>
      <c r="G245" s="4">
        <v>41</v>
      </c>
      <c r="H245" s="8">
        <v>2.04</v>
      </c>
      <c r="I245" s="4">
        <v>1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88</v>
      </c>
      <c r="C248" s="4">
        <v>1463</v>
      </c>
      <c r="D248" s="8">
        <v>11.64</v>
      </c>
      <c r="E248" s="4">
        <v>1333</v>
      </c>
      <c r="F248" s="8">
        <v>20.11</v>
      </c>
      <c r="G248" s="4">
        <v>127</v>
      </c>
      <c r="H248" s="8">
        <v>2.1800000000000002</v>
      </c>
      <c r="I248" s="4">
        <v>3</v>
      </c>
    </row>
    <row r="249" spans="1:9" x14ac:dyDescent="0.2">
      <c r="A249" s="2">
        <v>2</v>
      </c>
      <c r="B249" s="1" t="s">
        <v>89</v>
      </c>
      <c r="C249" s="4">
        <v>1258</v>
      </c>
      <c r="D249" s="8">
        <v>10.01</v>
      </c>
      <c r="E249" s="4">
        <v>1050</v>
      </c>
      <c r="F249" s="8">
        <v>15.84</v>
      </c>
      <c r="G249" s="4">
        <v>208</v>
      </c>
      <c r="H249" s="8">
        <v>3.58</v>
      </c>
      <c r="I249" s="4">
        <v>0</v>
      </c>
    </row>
    <row r="250" spans="1:9" x14ac:dyDescent="0.2">
      <c r="A250" s="2">
        <v>3</v>
      </c>
      <c r="B250" s="1" t="s">
        <v>74</v>
      </c>
      <c r="C250" s="4">
        <v>838</v>
      </c>
      <c r="D250" s="8">
        <v>6.67</v>
      </c>
      <c r="E250" s="4">
        <v>175</v>
      </c>
      <c r="F250" s="8">
        <v>2.64</v>
      </c>
      <c r="G250" s="4">
        <v>663</v>
      </c>
      <c r="H250" s="8">
        <v>11.4</v>
      </c>
      <c r="I250" s="4">
        <v>0</v>
      </c>
    </row>
    <row r="251" spans="1:9" x14ac:dyDescent="0.2">
      <c r="A251" s="2">
        <v>4</v>
      </c>
      <c r="B251" s="1" t="s">
        <v>85</v>
      </c>
      <c r="C251" s="4">
        <v>821</v>
      </c>
      <c r="D251" s="8">
        <v>6.53</v>
      </c>
      <c r="E251" s="4">
        <v>292</v>
      </c>
      <c r="F251" s="8">
        <v>4.4000000000000004</v>
      </c>
      <c r="G251" s="4">
        <v>525</v>
      </c>
      <c r="H251" s="8">
        <v>9.0299999999999994</v>
      </c>
      <c r="I251" s="4">
        <v>4</v>
      </c>
    </row>
    <row r="252" spans="1:9" x14ac:dyDescent="0.2">
      <c r="A252" s="2">
        <v>5</v>
      </c>
      <c r="B252" s="1" t="s">
        <v>83</v>
      </c>
      <c r="C252" s="4">
        <v>820</v>
      </c>
      <c r="D252" s="8">
        <v>6.52</v>
      </c>
      <c r="E252" s="4">
        <v>468</v>
      </c>
      <c r="F252" s="8">
        <v>7.06</v>
      </c>
      <c r="G252" s="4">
        <v>351</v>
      </c>
      <c r="H252" s="8">
        <v>6.04</v>
      </c>
      <c r="I252" s="4">
        <v>1</v>
      </c>
    </row>
    <row r="253" spans="1:9" x14ac:dyDescent="0.2">
      <c r="A253" s="2">
        <v>6</v>
      </c>
      <c r="B253" s="1" t="s">
        <v>91</v>
      </c>
      <c r="C253" s="4">
        <v>639</v>
      </c>
      <c r="D253" s="8">
        <v>5.08</v>
      </c>
      <c r="E253" s="4">
        <v>415</v>
      </c>
      <c r="F253" s="8">
        <v>6.26</v>
      </c>
      <c r="G253" s="4">
        <v>143</v>
      </c>
      <c r="H253" s="8">
        <v>2.46</v>
      </c>
      <c r="I253" s="4">
        <v>1</v>
      </c>
    </row>
    <row r="254" spans="1:9" x14ac:dyDescent="0.2">
      <c r="A254" s="2">
        <v>7</v>
      </c>
      <c r="B254" s="1" t="s">
        <v>81</v>
      </c>
      <c r="C254" s="4">
        <v>508</v>
      </c>
      <c r="D254" s="8">
        <v>4.04</v>
      </c>
      <c r="E254" s="4">
        <v>361</v>
      </c>
      <c r="F254" s="8">
        <v>5.44</v>
      </c>
      <c r="G254" s="4">
        <v>147</v>
      </c>
      <c r="H254" s="8">
        <v>2.5299999999999998</v>
      </c>
      <c r="I254" s="4">
        <v>0</v>
      </c>
    </row>
    <row r="255" spans="1:9" x14ac:dyDescent="0.2">
      <c r="A255" s="2">
        <v>8</v>
      </c>
      <c r="B255" s="1" t="s">
        <v>76</v>
      </c>
      <c r="C255" s="4">
        <v>453</v>
      </c>
      <c r="D255" s="8">
        <v>3.6</v>
      </c>
      <c r="E255" s="4">
        <v>111</v>
      </c>
      <c r="F255" s="8">
        <v>1.67</v>
      </c>
      <c r="G255" s="4">
        <v>342</v>
      </c>
      <c r="H255" s="8">
        <v>5.88</v>
      </c>
      <c r="I255" s="4">
        <v>0</v>
      </c>
    </row>
    <row r="256" spans="1:9" x14ac:dyDescent="0.2">
      <c r="A256" s="2">
        <v>9</v>
      </c>
      <c r="B256" s="1" t="s">
        <v>82</v>
      </c>
      <c r="C256" s="4">
        <v>422</v>
      </c>
      <c r="D256" s="8">
        <v>3.36</v>
      </c>
      <c r="E256" s="4">
        <v>279</v>
      </c>
      <c r="F256" s="8">
        <v>4.21</v>
      </c>
      <c r="G256" s="4">
        <v>143</v>
      </c>
      <c r="H256" s="8">
        <v>2.46</v>
      </c>
      <c r="I256" s="4">
        <v>0</v>
      </c>
    </row>
    <row r="257" spans="1:9" x14ac:dyDescent="0.2">
      <c r="A257" s="2">
        <v>10</v>
      </c>
      <c r="B257" s="1" t="s">
        <v>86</v>
      </c>
      <c r="C257" s="4">
        <v>402</v>
      </c>
      <c r="D257" s="8">
        <v>3.2</v>
      </c>
      <c r="E257" s="4">
        <v>269</v>
      </c>
      <c r="F257" s="8">
        <v>4.0599999999999996</v>
      </c>
      <c r="G257" s="4">
        <v>133</v>
      </c>
      <c r="H257" s="8">
        <v>2.29</v>
      </c>
      <c r="I257" s="4">
        <v>0</v>
      </c>
    </row>
    <row r="258" spans="1:9" x14ac:dyDescent="0.2">
      <c r="A258" s="2">
        <v>11</v>
      </c>
      <c r="B258" s="1" t="s">
        <v>92</v>
      </c>
      <c r="C258" s="4">
        <v>397</v>
      </c>
      <c r="D258" s="8">
        <v>3.16</v>
      </c>
      <c r="E258" s="4">
        <v>360</v>
      </c>
      <c r="F258" s="8">
        <v>5.43</v>
      </c>
      <c r="G258" s="4">
        <v>37</v>
      </c>
      <c r="H258" s="8">
        <v>0.64</v>
      </c>
      <c r="I258" s="4">
        <v>0</v>
      </c>
    </row>
    <row r="259" spans="1:9" x14ac:dyDescent="0.2">
      <c r="A259" s="2">
        <v>12</v>
      </c>
      <c r="B259" s="1" t="s">
        <v>80</v>
      </c>
      <c r="C259" s="4">
        <v>392</v>
      </c>
      <c r="D259" s="8">
        <v>3.12</v>
      </c>
      <c r="E259" s="4">
        <v>198</v>
      </c>
      <c r="F259" s="8">
        <v>2.99</v>
      </c>
      <c r="G259" s="4">
        <v>194</v>
      </c>
      <c r="H259" s="8">
        <v>3.34</v>
      </c>
      <c r="I259" s="4">
        <v>0</v>
      </c>
    </row>
    <row r="260" spans="1:9" x14ac:dyDescent="0.2">
      <c r="A260" s="2">
        <v>13</v>
      </c>
      <c r="B260" s="1" t="s">
        <v>75</v>
      </c>
      <c r="C260" s="4">
        <v>368</v>
      </c>
      <c r="D260" s="8">
        <v>2.93</v>
      </c>
      <c r="E260" s="4">
        <v>144</v>
      </c>
      <c r="F260" s="8">
        <v>2.17</v>
      </c>
      <c r="G260" s="4">
        <v>224</v>
      </c>
      <c r="H260" s="8">
        <v>3.85</v>
      </c>
      <c r="I260" s="4">
        <v>0</v>
      </c>
    </row>
    <row r="261" spans="1:9" x14ac:dyDescent="0.2">
      <c r="A261" s="2">
        <v>14</v>
      </c>
      <c r="B261" s="1" t="s">
        <v>87</v>
      </c>
      <c r="C261" s="4">
        <v>289</v>
      </c>
      <c r="D261" s="8">
        <v>2.2999999999999998</v>
      </c>
      <c r="E261" s="4">
        <v>120</v>
      </c>
      <c r="F261" s="8">
        <v>1.81</v>
      </c>
      <c r="G261" s="4">
        <v>168</v>
      </c>
      <c r="H261" s="8">
        <v>2.89</v>
      </c>
      <c r="I261" s="4">
        <v>0</v>
      </c>
    </row>
    <row r="262" spans="1:9" x14ac:dyDescent="0.2">
      <c r="A262" s="2">
        <v>15</v>
      </c>
      <c r="B262" s="1" t="s">
        <v>84</v>
      </c>
      <c r="C262" s="4">
        <v>249</v>
      </c>
      <c r="D262" s="8">
        <v>1.98</v>
      </c>
      <c r="E262" s="4">
        <v>40</v>
      </c>
      <c r="F262" s="8">
        <v>0.6</v>
      </c>
      <c r="G262" s="4">
        <v>209</v>
      </c>
      <c r="H262" s="8">
        <v>3.59</v>
      </c>
      <c r="I262" s="4">
        <v>0</v>
      </c>
    </row>
    <row r="263" spans="1:9" x14ac:dyDescent="0.2">
      <c r="A263" s="2">
        <v>16</v>
      </c>
      <c r="B263" s="1" t="s">
        <v>97</v>
      </c>
      <c r="C263" s="4">
        <v>188</v>
      </c>
      <c r="D263" s="8">
        <v>1.5</v>
      </c>
      <c r="E263" s="4">
        <v>25</v>
      </c>
      <c r="F263" s="8">
        <v>0.38</v>
      </c>
      <c r="G263" s="4">
        <v>163</v>
      </c>
      <c r="H263" s="8">
        <v>2.8</v>
      </c>
      <c r="I263" s="4">
        <v>0</v>
      </c>
    </row>
    <row r="264" spans="1:9" x14ac:dyDescent="0.2">
      <c r="A264" s="2">
        <v>17</v>
      </c>
      <c r="B264" s="1" t="s">
        <v>78</v>
      </c>
      <c r="C264" s="4">
        <v>181</v>
      </c>
      <c r="D264" s="8">
        <v>1.44</v>
      </c>
      <c r="E264" s="4">
        <v>23</v>
      </c>
      <c r="F264" s="8">
        <v>0.35</v>
      </c>
      <c r="G264" s="4">
        <v>158</v>
      </c>
      <c r="H264" s="8">
        <v>2.72</v>
      </c>
      <c r="I264" s="4">
        <v>0</v>
      </c>
    </row>
    <row r="265" spans="1:9" x14ac:dyDescent="0.2">
      <c r="A265" s="2">
        <v>18</v>
      </c>
      <c r="B265" s="1" t="s">
        <v>104</v>
      </c>
      <c r="C265" s="4">
        <v>179</v>
      </c>
      <c r="D265" s="8">
        <v>1.42</v>
      </c>
      <c r="E265" s="4">
        <v>141</v>
      </c>
      <c r="F265" s="8">
        <v>2.13</v>
      </c>
      <c r="G265" s="4">
        <v>38</v>
      </c>
      <c r="H265" s="8">
        <v>0.65</v>
      </c>
      <c r="I265" s="4">
        <v>0</v>
      </c>
    </row>
    <row r="266" spans="1:9" x14ac:dyDescent="0.2">
      <c r="A266" s="2">
        <v>19</v>
      </c>
      <c r="B266" s="1" t="s">
        <v>77</v>
      </c>
      <c r="C266" s="4">
        <v>165</v>
      </c>
      <c r="D266" s="8">
        <v>1.31</v>
      </c>
      <c r="E266" s="4">
        <v>53</v>
      </c>
      <c r="F266" s="8">
        <v>0.8</v>
      </c>
      <c r="G266" s="4">
        <v>112</v>
      </c>
      <c r="H266" s="8">
        <v>1.93</v>
      </c>
      <c r="I266" s="4">
        <v>0</v>
      </c>
    </row>
    <row r="267" spans="1:9" x14ac:dyDescent="0.2">
      <c r="A267" s="2">
        <v>20</v>
      </c>
      <c r="B267" s="1" t="s">
        <v>93</v>
      </c>
      <c r="C267" s="4">
        <v>156</v>
      </c>
      <c r="D267" s="8">
        <v>1.24</v>
      </c>
      <c r="E267" s="4">
        <v>1</v>
      </c>
      <c r="F267" s="8">
        <v>0.02</v>
      </c>
      <c r="G267" s="4">
        <v>136</v>
      </c>
      <c r="H267" s="8">
        <v>2.34</v>
      </c>
      <c r="I267" s="4">
        <v>0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88</v>
      </c>
      <c r="C270" s="4">
        <v>1379</v>
      </c>
      <c r="D270" s="8">
        <v>14.35</v>
      </c>
      <c r="E270" s="4">
        <v>1281</v>
      </c>
      <c r="F270" s="8">
        <v>26.44</v>
      </c>
      <c r="G270" s="4">
        <v>97</v>
      </c>
      <c r="H270" s="8">
        <v>2.08</v>
      </c>
      <c r="I270" s="4">
        <v>1</v>
      </c>
    </row>
    <row r="271" spans="1:9" x14ac:dyDescent="0.2">
      <c r="A271" s="2">
        <v>2</v>
      </c>
      <c r="B271" s="1" t="s">
        <v>89</v>
      </c>
      <c r="C271" s="4">
        <v>898</v>
      </c>
      <c r="D271" s="8">
        <v>9.34</v>
      </c>
      <c r="E271" s="4">
        <v>750</v>
      </c>
      <c r="F271" s="8">
        <v>15.48</v>
      </c>
      <c r="G271" s="4">
        <v>148</v>
      </c>
      <c r="H271" s="8">
        <v>3.18</v>
      </c>
      <c r="I271" s="4">
        <v>0</v>
      </c>
    </row>
    <row r="272" spans="1:9" x14ac:dyDescent="0.2">
      <c r="A272" s="2">
        <v>3</v>
      </c>
      <c r="B272" s="1" t="s">
        <v>85</v>
      </c>
      <c r="C272" s="4">
        <v>869</v>
      </c>
      <c r="D272" s="8">
        <v>9.0399999999999991</v>
      </c>
      <c r="E272" s="4">
        <v>224</v>
      </c>
      <c r="F272" s="8">
        <v>4.62</v>
      </c>
      <c r="G272" s="4">
        <v>644</v>
      </c>
      <c r="H272" s="8">
        <v>13.83</v>
      </c>
      <c r="I272" s="4">
        <v>1</v>
      </c>
    </row>
    <row r="273" spans="1:9" x14ac:dyDescent="0.2">
      <c r="A273" s="2">
        <v>4</v>
      </c>
      <c r="B273" s="1" t="s">
        <v>83</v>
      </c>
      <c r="C273" s="4">
        <v>532</v>
      </c>
      <c r="D273" s="8">
        <v>5.54</v>
      </c>
      <c r="E273" s="4">
        <v>317</v>
      </c>
      <c r="F273" s="8">
        <v>6.54</v>
      </c>
      <c r="G273" s="4">
        <v>215</v>
      </c>
      <c r="H273" s="8">
        <v>4.62</v>
      </c>
      <c r="I273" s="4">
        <v>0</v>
      </c>
    </row>
    <row r="274" spans="1:9" x14ac:dyDescent="0.2">
      <c r="A274" s="2">
        <v>5</v>
      </c>
      <c r="B274" s="1" t="s">
        <v>74</v>
      </c>
      <c r="C274" s="4">
        <v>434</v>
      </c>
      <c r="D274" s="8">
        <v>4.5199999999999996</v>
      </c>
      <c r="E274" s="4">
        <v>69</v>
      </c>
      <c r="F274" s="8">
        <v>1.42</v>
      </c>
      <c r="G274" s="4">
        <v>365</v>
      </c>
      <c r="H274" s="8">
        <v>7.84</v>
      </c>
      <c r="I274" s="4">
        <v>0</v>
      </c>
    </row>
    <row r="275" spans="1:9" x14ac:dyDescent="0.2">
      <c r="A275" s="2">
        <v>6</v>
      </c>
      <c r="B275" s="1" t="s">
        <v>76</v>
      </c>
      <c r="C275" s="4">
        <v>407</v>
      </c>
      <c r="D275" s="8">
        <v>4.2300000000000004</v>
      </c>
      <c r="E275" s="4">
        <v>53</v>
      </c>
      <c r="F275" s="8">
        <v>1.0900000000000001</v>
      </c>
      <c r="G275" s="4">
        <v>354</v>
      </c>
      <c r="H275" s="8">
        <v>7.6</v>
      </c>
      <c r="I275" s="4">
        <v>0</v>
      </c>
    </row>
    <row r="276" spans="1:9" x14ac:dyDescent="0.2">
      <c r="A276" s="2">
        <v>7</v>
      </c>
      <c r="B276" s="1" t="s">
        <v>81</v>
      </c>
      <c r="C276" s="4">
        <v>389</v>
      </c>
      <c r="D276" s="8">
        <v>4.05</v>
      </c>
      <c r="E276" s="4">
        <v>274</v>
      </c>
      <c r="F276" s="8">
        <v>5.66</v>
      </c>
      <c r="G276" s="4">
        <v>115</v>
      </c>
      <c r="H276" s="8">
        <v>2.4700000000000002</v>
      </c>
      <c r="I276" s="4">
        <v>0</v>
      </c>
    </row>
    <row r="277" spans="1:9" x14ac:dyDescent="0.2">
      <c r="A277" s="2">
        <v>8</v>
      </c>
      <c r="B277" s="1" t="s">
        <v>75</v>
      </c>
      <c r="C277" s="4">
        <v>370</v>
      </c>
      <c r="D277" s="8">
        <v>3.85</v>
      </c>
      <c r="E277" s="4">
        <v>87</v>
      </c>
      <c r="F277" s="8">
        <v>1.8</v>
      </c>
      <c r="G277" s="4">
        <v>283</v>
      </c>
      <c r="H277" s="8">
        <v>6.08</v>
      </c>
      <c r="I277" s="4">
        <v>0</v>
      </c>
    </row>
    <row r="278" spans="1:9" x14ac:dyDescent="0.2">
      <c r="A278" s="2">
        <v>8</v>
      </c>
      <c r="B278" s="1" t="s">
        <v>92</v>
      </c>
      <c r="C278" s="4">
        <v>370</v>
      </c>
      <c r="D278" s="8">
        <v>3.85</v>
      </c>
      <c r="E278" s="4">
        <v>325</v>
      </c>
      <c r="F278" s="8">
        <v>6.71</v>
      </c>
      <c r="G278" s="4">
        <v>45</v>
      </c>
      <c r="H278" s="8">
        <v>0.97</v>
      </c>
      <c r="I278" s="4">
        <v>0</v>
      </c>
    </row>
    <row r="279" spans="1:9" x14ac:dyDescent="0.2">
      <c r="A279" s="2">
        <v>10</v>
      </c>
      <c r="B279" s="1" t="s">
        <v>91</v>
      </c>
      <c r="C279" s="4">
        <v>314</v>
      </c>
      <c r="D279" s="8">
        <v>3.27</v>
      </c>
      <c r="E279" s="4">
        <v>240</v>
      </c>
      <c r="F279" s="8">
        <v>4.95</v>
      </c>
      <c r="G279" s="4">
        <v>72</v>
      </c>
      <c r="H279" s="8">
        <v>1.55</v>
      </c>
      <c r="I279" s="4">
        <v>1</v>
      </c>
    </row>
    <row r="280" spans="1:9" x14ac:dyDescent="0.2">
      <c r="A280" s="2">
        <v>11</v>
      </c>
      <c r="B280" s="1" t="s">
        <v>86</v>
      </c>
      <c r="C280" s="4">
        <v>280</v>
      </c>
      <c r="D280" s="8">
        <v>2.91</v>
      </c>
      <c r="E280" s="4">
        <v>186</v>
      </c>
      <c r="F280" s="8">
        <v>3.84</v>
      </c>
      <c r="G280" s="4">
        <v>92</v>
      </c>
      <c r="H280" s="8">
        <v>1.98</v>
      </c>
      <c r="I280" s="4">
        <v>2</v>
      </c>
    </row>
    <row r="281" spans="1:9" x14ac:dyDescent="0.2">
      <c r="A281" s="2">
        <v>12</v>
      </c>
      <c r="B281" s="1" t="s">
        <v>82</v>
      </c>
      <c r="C281" s="4">
        <v>251</v>
      </c>
      <c r="D281" s="8">
        <v>2.61</v>
      </c>
      <c r="E281" s="4">
        <v>161</v>
      </c>
      <c r="F281" s="8">
        <v>3.32</v>
      </c>
      <c r="G281" s="4">
        <v>90</v>
      </c>
      <c r="H281" s="8">
        <v>1.93</v>
      </c>
      <c r="I281" s="4">
        <v>0</v>
      </c>
    </row>
    <row r="282" spans="1:9" x14ac:dyDescent="0.2">
      <c r="A282" s="2">
        <v>13</v>
      </c>
      <c r="B282" s="1" t="s">
        <v>93</v>
      </c>
      <c r="C282" s="4">
        <v>237</v>
      </c>
      <c r="D282" s="8">
        <v>2.4700000000000002</v>
      </c>
      <c r="E282" s="4">
        <v>1</v>
      </c>
      <c r="F282" s="8">
        <v>0.02</v>
      </c>
      <c r="G282" s="4">
        <v>139</v>
      </c>
      <c r="H282" s="8">
        <v>2.98</v>
      </c>
      <c r="I282" s="4">
        <v>2</v>
      </c>
    </row>
    <row r="283" spans="1:9" x14ac:dyDescent="0.2">
      <c r="A283" s="2">
        <v>14</v>
      </c>
      <c r="B283" s="1" t="s">
        <v>80</v>
      </c>
      <c r="C283" s="4">
        <v>233</v>
      </c>
      <c r="D283" s="8">
        <v>2.42</v>
      </c>
      <c r="E283" s="4">
        <v>124</v>
      </c>
      <c r="F283" s="8">
        <v>2.56</v>
      </c>
      <c r="G283" s="4">
        <v>109</v>
      </c>
      <c r="H283" s="8">
        <v>2.34</v>
      </c>
      <c r="I283" s="4">
        <v>0</v>
      </c>
    </row>
    <row r="284" spans="1:9" x14ac:dyDescent="0.2">
      <c r="A284" s="2">
        <v>15</v>
      </c>
      <c r="B284" s="1" t="s">
        <v>77</v>
      </c>
      <c r="C284" s="4">
        <v>215</v>
      </c>
      <c r="D284" s="8">
        <v>2.2400000000000002</v>
      </c>
      <c r="E284" s="4">
        <v>73</v>
      </c>
      <c r="F284" s="8">
        <v>1.51</v>
      </c>
      <c r="G284" s="4">
        <v>142</v>
      </c>
      <c r="H284" s="8">
        <v>3.05</v>
      </c>
      <c r="I284" s="4">
        <v>0</v>
      </c>
    </row>
    <row r="285" spans="1:9" x14ac:dyDescent="0.2">
      <c r="A285" s="2">
        <v>16</v>
      </c>
      <c r="B285" s="1" t="s">
        <v>84</v>
      </c>
      <c r="C285" s="4">
        <v>194</v>
      </c>
      <c r="D285" s="8">
        <v>2.02</v>
      </c>
      <c r="E285" s="4">
        <v>39</v>
      </c>
      <c r="F285" s="8">
        <v>0.8</v>
      </c>
      <c r="G285" s="4">
        <v>155</v>
      </c>
      <c r="H285" s="8">
        <v>3.33</v>
      </c>
      <c r="I285" s="4">
        <v>0</v>
      </c>
    </row>
    <row r="286" spans="1:9" x14ac:dyDescent="0.2">
      <c r="A286" s="2">
        <v>17</v>
      </c>
      <c r="B286" s="1" t="s">
        <v>100</v>
      </c>
      <c r="C286" s="4">
        <v>170</v>
      </c>
      <c r="D286" s="8">
        <v>1.77</v>
      </c>
      <c r="E286" s="4">
        <v>49</v>
      </c>
      <c r="F286" s="8">
        <v>1.01</v>
      </c>
      <c r="G286" s="4">
        <v>121</v>
      </c>
      <c r="H286" s="8">
        <v>2.6</v>
      </c>
      <c r="I286" s="4">
        <v>0</v>
      </c>
    </row>
    <row r="287" spans="1:9" x14ac:dyDescent="0.2">
      <c r="A287" s="2">
        <v>18</v>
      </c>
      <c r="B287" s="1" t="s">
        <v>78</v>
      </c>
      <c r="C287" s="4">
        <v>130</v>
      </c>
      <c r="D287" s="8">
        <v>1.35</v>
      </c>
      <c r="E287" s="4">
        <v>13</v>
      </c>
      <c r="F287" s="8">
        <v>0.27</v>
      </c>
      <c r="G287" s="4">
        <v>117</v>
      </c>
      <c r="H287" s="8">
        <v>2.5099999999999998</v>
      </c>
      <c r="I287" s="4">
        <v>0</v>
      </c>
    </row>
    <row r="288" spans="1:9" x14ac:dyDescent="0.2">
      <c r="A288" s="2">
        <v>19</v>
      </c>
      <c r="B288" s="1" t="s">
        <v>90</v>
      </c>
      <c r="C288" s="4">
        <v>124</v>
      </c>
      <c r="D288" s="8">
        <v>1.29</v>
      </c>
      <c r="E288" s="4">
        <v>62</v>
      </c>
      <c r="F288" s="8">
        <v>1.28</v>
      </c>
      <c r="G288" s="4">
        <v>62</v>
      </c>
      <c r="H288" s="8">
        <v>1.33</v>
      </c>
      <c r="I288" s="4">
        <v>0</v>
      </c>
    </row>
    <row r="289" spans="1:9" x14ac:dyDescent="0.2">
      <c r="A289" s="2">
        <v>20</v>
      </c>
      <c r="B289" s="1" t="s">
        <v>87</v>
      </c>
      <c r="C289" s="4">
        <v>121</v>
      </c>
      <c r="D289" s="8">
        <v>1.26</v>
      </c>
      <c r="E289" s="4">
        <v>50</v>
      </c>
      <c r="F289" s="8">
        <v>1.03</v>
      </c>
      <c r="G289" s="4">
        <v>70</v>
      </c>
      <c r="H289" s="8">
        <v>1.5</v>
      </c>
      <c r="I289" s="4">
        <v>0</v>
      </c>
    </row>
    <row r="290" spans="1:9" x14ac:dyDescent="0.2">
      <c r="A290" s="1"/>
      <c r="C290" s="4"/>
      <c r="D290" s="8"/>
      <c r="E290" s="4"/>
      <c r="F290" s="8"/>
      <c r="G290" s="4"/>
      <c r="H290" s="8"/>
      <c r="I290" s="4"/>
    </row>
    <row r="291" spans="1:9" x14ac:dyDescent="0.2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2">
      <c r="A292" s="2">
        <v>1</v>
      </c>
      <c r="B292" s="1" t="s">
        <v>88</v>
      </c>
      <c r="C292" s="4">
        <v>608</v>
      </c>
      <c r="D292" s="8">
        <v>13.33</v>
      </c>
      <c r="E292" s="4">
        <v>566</v>
      </c>
      <c r="F292" s="8">
        <v>22.74</v>
      </c>
      <c r="G292" s="4">
        <v>42</v>
      </c>
      <c r="H292" s="8">
        <v>2.0499999999999998</v>
      </c>
      <c r="I292" s="4">
        <v>0</v>
      </c>
    </row>
    <row r="293" spans="1:9" x14ac:dyDescent="0.2">
      <c r="A293" s="2">
        <v>2</v>
      </c>
      <c r="B293" s="1" t="s">
        <v>89</v>
      </c>
      <c r="C293" s="4">
        <v>568</v>
      </c>
      <c r="D293" s="8">
        <v>12.45</v>
      </c>
      <c r="E293" s="4">
        <v>474</v>
      </c>
      <c r="F293" s="8">
        <v>19.04</v>
      </c>
      <c r="G293" s="4">
        <v>94</v>
      </c>
      <c r="H293" s="8">
        <v>4.5999999999999996</v>
      </c>
      <c r="I293" s="4">
        <v>0</v>
      </c>
    </row>
    <row r="294" spans="1:9" x14ac:dyDescent="0.2">
      <c r="A294" s="2">
        <v>3</v>
      </c>
      <c r="B294" s="1" t="s">
        <v>85</v>
      </c>
      <c r="C294" s="4">
        <v>341</v>
      </c>
      <c r="D294" s="8">
        <v>7.47</v>
      </c>
      <c r="E294" s="4">
        <v>62</v>
      </c>
      <c r="F294" s="8">
        <v>2.4900000000000002</v>
      </c>
      <c r="G294" s="4">
        <v>278</v>
      </c>
      <c r="H294" s="8">
        <v>13.6</v>
      </c>
      <c r="I294" s="4">
        <v>0</v>
      </c>
    </row>
    <row r="295" spans="1:9" x14ac:dyDescent="0.2">
      <c r="A295" s="2">
        <v>4</v>
      </c>
      <c r="B295" s="1" t="s">
        <v>83</v>
      </c>
      <c r="C295" s="4">
        <v>317</v>
      </c>
      <c r="D295" s="8">
        <v>6.95</v>
      </c>
      <c r="E295" s="4">
        <v>186</v>
      </c>
      <c r="F295" s="8">
        <v>7.47</v>
      </c>
      <c r="G295" s="4">
        <v>131</v>
      </c>
      <c r="H295" s="8">
        <v>6.41</v>
      </c>
      <c r="I295" s="4">
        <v>0</v>
      </c>
    </row>
    <row r="296" spans="1:9" x14ac:dyDescent="0.2">
      <c r="A296" s="2">
        <v>5</v>
      </c>
      <c r="B296" s="1" t="s">
        <v>91</v>
      </c>
      <c r="C296" s="4">
        <v>238</v>
      </c>
      <c r="D296" s="8">
        <v>5.22</v>
      </c>
      <c r="E296" s="4">
        <v>188</v>
      </c>
      <c r="F296" s="8">
        <v>7.55</v>
      </c>
      <c r="G296" s="4">
        <v>49</v>
      </c>
      <c r="H296" s="8">
        <v>2.4</v>
      </c>
      <c r="I296" s="4">
        <v>1</v>
      </c>
    </row>
    <row r="297" spans="1:9" x14ac:dyDescent="0.2">
      <c r="A297" s="2">
        <v>6</v>
      </c>
      <c r="B297" s="1" t="s">
        <v>81</v>
      </c>
      <c r="C297" s="4">
        <v>226</v>
      </c>
      <c r="D297" s="8">
        <v>4.95</v>
      </c>
      <c r="E297" s="4">
        <v>167</v>
      </c>
      <c r="F297" s="8">
        <v>6.71</v>
      </c>
      <c r="G297" s="4">
        <v>59</v>
      </c>
      <c r="H297" s="8">
        <v>2.89</v>
      </c>
      <c r="I297" s="4">
        <v>0</v>
      </c>
    </row>
    <row r="298" spans="1:9" x14ac:dyDescent="0.2">
      <c r="A298" s="2">
        <v>7</v>
      </c>
      <c r="B298" s="1" t="s">
        <v>74</v>
      </c>
      <c r="C298" s="4">
        <v>192</v>
      </c>
      <c r="D298" s="8">
        <v>4.21</v>
      </c>
      <c r="E298" s="4">
        <v>41</v>
      </c>
      <c r="F298" s="8">
        <v>1.65</v>
      </c>
      <c r="G298" s="4">
        <v>151</v>
      </c>
      <c r="H298" s="8">
        <v>7.39</v>
      </c>
      <c r="I298" s="4">
        <v>0</v>
      </c>
    </row>
    <row r="299" spans="1:9" x14ac:dyDescent="0.2">
      <c r="A299" s="2">
        <v>8</v>
      </c>
      <c r="B299" s="1" t="s">
        <v>92</v>
      </c>
      <c r="C299" s="4">
        <v>181</v>
      </c>
      <c r="D299" s="8">
        <v>3.97</v>
      </c>
      <c r="E299" s="4">
        <v>161</v>
      </c>
      <c r="F299" s="8">
        <v>6.47</v>
      </c>
      <c r="G299" s="4">
        <v>20</v>
      </c>
      <c r="H299" s="8">
        <v>0.98</v>
      </c>
      <c r="I299" s="4">
        <v>0</v>
      </c>
    </row>
    <row r="300" spans="1:9" x14ac:dyDescent="0.2">
      <c r="A300" s="2">
        <v>9</v>
      </c>
      <c r="B300" s="1" t="s">
        <v>86</v>
      </c>
      <c r="C300" s="4">
        <v>166</v>
      </c>
      <c r="D300" s="8">
        <v>3.64</v>
      </c>
      <c r="E300" s="4">
        <v>113</v>
      </c>
      <c r="F300" s="8">
        <v>4.54</v>
      </c>
      <c r="G300" s="4">
        <v>53</v>
      </c>
      <c r="H300" s="8">
        <v>2.59</v>
      </c>
      <c r="I300" s="4">
        <v>0</v>
      </c>
    </row>
    <row r="301" spans="1:9" x14ac:dyDescent="0.2">
      <c r="A301" s="2">
        <v>10</v>
      </c>
      <c r="B301" s="1" t="s">
        <v>82</v>
      </c>
      <c r="C301" s="4">
        <v>133</v>
      </c>
      <c r="D301" s="8">
        <v>2.92</v>
      </c>
      <c r="E301" s="4">
        <v>84</v>
      </c>
      <c r="F301" s="8">
        <v>3.37</v>
      </c>
      <c r="G301" s="4">
        <v>49</v>
      </c>
      <c r="H301" s="8">
        <v>2.4</v>
      </c>
      <c r="I301" s="4">
        <v>0</v>
      </c>
    </row>
    <row r="302" spans="1:9" x14ac:dyDescent="0.2">
      <c r="A302" s="2">
        <v>11</v>
      </c>
      <c r="B302" s="1" t="s">
        <v>80</v>
      </c>
      <c r="C302" s="4">
        <v>121</v>
      </c>
      <c r="D302" s="8">
        <v>2.65</v>
      </c>
      <c r="E302" s="4">
        <v>53</v>
      </c>
      <c r="F302" s="8">
        <v>2.13</v>
      </c>
      <c r="G302" s="4">
        <v>68</v>
      </c>
      <c r="H302" s="8">
        <v>3.33</v>
      </c>
      <c r="I302" s="4">
        <v>0</v>
      </c>
    </row>
    <row r="303" spans="1:9" x14ac:dyDescent="0.2">
      <c r="A303" s="2">
        <v>12</v>
      </c>
      <c r="B303" s="1" t="s">
        <v>84</v>
      </c>
      <c r="C303" s="4">
        <v>117</v>
      </c>
      <c r="D303" s="8">
        <v>2.56</v>
      </c>
      <c r="E303" s="4">
        <v>19</v>
      </c>
      <c r="F303" s="8">
        <v>0.76</v>
      </c>
      <c r="G303" s="4">
        <v>98</v>
      </c>
      <c r="H303" s="8">
        <v>4.79</v>
      </c>
      <c r="I303" s="4">
        <v>0</v>
      </c>
    </row>
    <row r="304" spans="1:9" x14ac:dyDescent="0.2">
      <c r="A304" s="2">
        <v>13</v>
      </c>
      <c r="B304" s="1" t="s">
        <v>75</v>
      </c>
      <c r="C304" s="4">
        <v>104</v>
      </c>
      <c r="D304" s="8">
        <v>2.2799999999999998</v>
      </c>
      <c r="E304" s="4">
        <v>37</v>
      </c>
      <c r="F304" s="8">
        <v>1.49</v>
      </c>
      <c r="G304" s="4">
        <v>67</v>
      </c>
      <c r="H304" s="8">
        <v>3.28</v>
      </c>
      <c r="I304" s="4">
        <v>0</v>
      </c>
    </row>
    <row r="305" spans="1:9" x14ac:dyDescent="0.2">
      <c r="A305" s="2">
        <v>14</v>
      </c>
      <c r="B305" s="1" t="s">
        <v>76</v>
      </c>
      <c r="C305" s="4">
        <v>97</v>
      </c>
      <c r="D305" s="8">
        <v>2.13</v>
      </c>
      <c r="E305" s="4">
        <v>20</v>
      </c>
      <c r="F305" s="8">
        <v>0.8</v>
      </c>
      <c r="G305" s="4">
        <v>77</v>
      </c>
      <c r="H305" s="8">
        <v>3.77</v>
      </c>
      <c r="I305" s="4">
        <v>0</v>
      </c>
    </row>
    <row r="306" spans="1:9" x14ac:dyDescent="0.2">
      <c r="A306" s="2">
        <v>15</v>
      </c>
      <c r="B306" s="1" t="s">
        <v>93</v>
      </c>
      <c r="C306" s="4">
        <v>92</v>
      </c>
      <c r="D306" s="8">
        <v>2.02</v>
      </c>
      <c r="E306" s="4">
        <v>4</v>
      </c>
      <c r="F306" s="8">
        <v>0.16</v>
      </c>
      <c r="G306" s="4">
        <v>83</v>
      </c>
      <c r="H306" s="8">
        <v>4.0599999999999996</v>
      </c>
      <c r="I306" s="4">
        <v>0</v>
      </c>
    </row>
    <row r="307" spans="1:9" x14ac:dyDescent="0.2">
      <c r="A307" s="2">
        <v>16</v>
      </c>
      <c r="B307" s="1" t="s">
        <v>87</v>
      </c>
      <c r="C307" s="4">
        <v>86</v>
      </c>
      <c r="D307" s="8">
        <v>1.89</v>
      </c>
      <c r="E307" s="4">
        <v>35</v>
      </c>
      <c r="F307" s="8">
        <v>1.41</v>
      </c>
      <c r="G307" s="4">
        <v>50</v>
      </c>
      <c r="H307" s="8">
        <v>2.4500000000000002</v>
      </c>
      <c r="I307" s="4">
        <v>0</v>
      </c>
    </row>
    <row r="308" spans="1:9" x14ac:dyDescent="0.2">
      <c r="A308" s="2">
        <v>17</v>
      </c>
      <c r="B308" s="1" t="s">
        <v>90</v>
      </c>
      <c r="C308" s="4">
        <v>85</v>
      </c>
      <c r="D308" s="8">
        <v>1.86</v>
      </c>
      <c r="E308" s="4">
        <v>33</v>
      </c>
      <c r="F308" s="8">
        <v>1.33</v>
      </c>
      <c r="G308" s="4">
        <v>48</v>
      </c>
      <c r="H308" s="8">
        <v>2.35</v>
      </c>
      <c r="I308" s="4">
        <v>0</v>
      </c>
    </row>
    <row r="309" spans="1:9" x14ac:dyDescent="0.2">
      <c r="A309" s="2">
        <v>18</v>
      </c>
      <c r="B309" s="1" t="s">
        <v>78</v>
      </c>
      <c r="C309" s="4">
        <v>62</v>
      </c>
      <c r="D309" s="8">
        <v>1.36</v>
      </c>
      <c r="E309" s="4">
        <v>8</v>
      </c>
      <c r="F309" s="8">
        <v>0.32</v>
      </c>
      <c r="G309" s="4">
        <v>54</v>
      </c>
      <c r="H309" s="8">
        <v>2.64</v>
      </c>
      <c r="I309" s="4">
        <v>0</v>
      </c>
    </row>
    <row r="310" spans="1:9" x14ac:dyDescent="0.2">
      <c r="A310" s="2">
        <v>19</v>
      </c>
      <c r="B310" s="1" t="s">
        <v>79</v>
      </c>
      <c r="C310" s="4">
        <v>56</v>
      </c>
      <c r="D310" s="8">
        <v>1.23</v>
      </c>
      <c r="E310" s="4">
        <v>7</v>
      </c>
      <c r="F310" s="8">
        <v>0.28000000000000003</v>
      </c>
      <c r="G310" s="4">
        <v>49</v>
      </c>
      <c r="H310" s="8">
        <v>2.4</v>
      </c>
      <c r="I310" s="4">
        <v>0</v>
      </c>
    </row>
    <row r="311" spans="1:9" x14ac:dyDescent="0.2">
      <c r="A311" s="2">
        <v>20</v>
      </c>
      <c r="B311" s="1" t="s">
        <v>94</v>
      </c>
      <c r="C311" s="4">
        <v>53</v>
      </c>
      <c r="D311" s="8">
        <v>1.1599999999999999</v>
      </c>
      <c r="E311" s="4">
        <v>4</v>
      </c>
      <c r="F311" s="8">
        <v>0.16</v>
      </c>
      <c r="G311" s="4">
        <v>47</v>
      </c>
      <c r="H311" s="8">
        <v>2.2999999999999998</v>
      </c>
      <c r="I311" s="4">
        <v>2</v>
      </c>
    </row>
    <row r="312" spans="1:9" x14ac:dyDescent="0.2">
      <c r="A312" s="1"/>
      <c r="C312" s="4"/>
      <c r="D312" s="8"/>
      <c r="E312" s="4"/>
      <c r="F312" s="8"/>
      <c r="G312" s="4"/>
      <c r="H312" s="8"/>
      <c r="I312" s="4"/>
    </row>
    <row r="313" spans="1:9" x14ac:dyDescent="0.2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2">
      <c r="A314" s="2">
        <v>1</v>
      </c>
      <c r="B314" s="1" t="s">
        <v>85</v>
      </c>
      <c r="C314" s="4">
        <v>958</v>
      </c>
      <c r="D314" s="8">
        <v>12.43</v>
      </c>
      <c r="E314" s="4">
        <v>252</v>
      </c>
      <c r="F314" s="8">
        <v>7.16</v>
      </c>
      <c r="G314" s="4">
        <v>701</v>
      </c>
      <c r="H314" s="8">
        <v>16.940000000000001</v>
      </c>
      <c r="I314" s="4">
        <v>5</v>
      </c>
    </row>
    <row r="315" spans="1:9" x14ac:dyDescent="0.2">
      <c r="A315" s="2">
        <v>2</v>
      </c>
      <c r="B315" s="1" t="s">
        <v>88</v>
      </c>
      <c r="C315" s="4">
        <v>935</v>
      </c>
      <c r="D315" s="8">
        <v>12.13</v>
      </c>
      <c r="E315" s="4">
        <v>822</v>
      </c>
      <c r="F315" s="8">
        <v>23.34</v>
      </c>
      <c r="G315" s="4">
        <v>113</v>
      </c>
      <c r="H315" s="8">
        <v>2.73</v>
      </c>
      <c r="I315" s="4">
        <v>0</v>
      </c>
    </row>
    <row r="316" spans="1:9" x14ac:dyDescent="0.2">
      <c r="A316" s="2">
        <v>3</v>
      </c>
      <c r="B316" s="1" t="s">
        <v>89</v>
      </c>
      <c r="C316" s="4">
        <v>822</v>
      </c>
      <c r="D316" s="8">
        <v>10.67</v>
      </c>
      <c r="E316" s="4">
        <v>628</v>
      </c>
      <c r="F316" s="8">
        <v>17.829999999999998</v>
      </c>
      <c r="G316" s="4">
        <v>194</v>
      </c>
      <c r="H316" s="8">
        <v>4.6900000000000004</v>
      </c>
      <c r="I316" s="4">
        <v>0</v>
      </c>
    </row>
    <row r="317" spans="1:9" x14ac:dyDescent="0.2">
      <c r="A317" s="2">
        <v>4</v>
      </c>
      <c r="B317" s="1" t="s">
        <v>83</v>
      </c>
      <c r="C317" s="4">
        <v>456</v>
      </c>
      <c r="D317" s="8">
        <v>5.92</v>
      </c>
      <c r="E317" s="4">
        <v>254</v>
      </c>
      <c r="F317" s="8">
        <v>7.21</v>
      </c>
      <c r="G317" s="4">
        <v>200</v>
      </c>
      <c r="H317" s="8">
        <v>4.83</v>
      </c>
      <c r="I317" s="4">
        <v>2</v>
      </c>
    </row>
    <row r="318" spans="1:9" x14ac:dyDescent="0.2">
      <c r="A318" s="2">
        <v>5</v>
      </c>
      <c r="B318" s="1" t="s">
        <v>92</v>
      </c>
      <c r="C318" s="4">
        <v>403</v>
      </c>
      <c r="D318" s="8">
        <v>5.23</v>
      </c>
      <c r="E318" s="4">
        <v>354</v>
      </c>
      <c r="F318" s="8">
        <v>10.050000000000001</v>
      </c>
      <c r="G318" s="4">
        <v>49</v>
      </c>
      <c r="H318" s="8">
        <v>1.18</v>
      </c>
      <c r="I318" s="4">
        <v>0</v>
      </c>
    </row>
    <row r="319" spans="1:9" x14ac:dyDescent="0.2">
      <c r="A319" s="2">
        <v>6</v>
      </c>
      <c r="B319" s="1" t="s">
        <v>91</v>
      </c>
      <c r="C319" s="4">
        <v>401</v>
      </c>
      <c r="D319" s="8">
        <v>5.2</v>
      </c>
      <c r="E319" s="4">
        <v>226</v>
      </c>
      <c r="F319" s="8">
        <v>6.42</v>
      </c>
      <c r="G319" s="4">
        <v>148</v>
      </c>
      <c r="H319" s="8">
        <v>3.58</v>
      </c>
      <c r="I319" s="4">
        <v>0</v>
      </c>
    </row>
    <row r="320" spans="1:9" x14ac:dyDescent="0.2">
      <c r="A320" s="2">
        <v>7</v>
      </c>
      <c r="B320" s="1" t="s">
        <v>74</v>
      </c>
      <c r="C320" s="4">
        <v>345</v>
      </c>
      <c r="D320" s="8">
        <v>4.4800000000000004</v>
      </c>
      <c r="E320" s="4">
        <v>38</v>
      </c>
      <c r="F320" s="8">
        <v>1.08</v>
      </c>
      <c r="G320" s="4">
        <v>307</v>
      </c>
      <c r="H320" s="8">
        <v>7.42</v>
      </c>
      <c r="I320" s="4">
        <v>0</v>
      </c>
    </row>
    <row r="321" spans="1:9" x14ac:dyDescent="0.2">
      <c r="A321" s="2">
        <v>8</v>
      </c>
      <c r="B321" s="1" t="s">
        <v>86</v>
      </c>
      <c r="C321" s="4">
        <v>323</v>
      </c>
      <c r="D321" s="8">
        <v>4.1900000000000004</v>
      </c>
      <c r="E321" s="4">
        <v>146</v>
      </c>
      <c r="F321" s="8">
        <v>4.1500000000000004</v>
      </c>
      <c r="G321" s="4">
        <v>177</v>
      </c>
      <c r="H321" s="8">
        <v>4.28</v>
      </c>
      <c r="I321" s="4">
        <v>0</v>
      </c>
    </row>
    <row r="322" spans="1:9" x14ac:dyDescent="0.2">
      <c r="A322" s="2">
        <v>9</v>
      </c>
      <c r="B322" s="1" t="s">
        <v>81</v>
      </c>
      <c r="C322" s="4">
        <v>302</v>
      </c>
      <c r="D322" s="8">
        <v>3.92</v>
      </c>
      <c r="E322" s="4">
        <v>196</v>
      </c>
      <c r="F322" s="8">
        <v>5.57</v>
      </c>
      <c r="G322" s="4">
        <v>105</v>
      </c>
      <c r="H322" s="8">
        <v>2.54</v>
      </c>
      <c r="I322" s="4">
        <v>1</v>
      </c>
    </row>
    <row r="323" spans="1:9" x14ac:dyDescent="0.2">
      <c r="A323" s="2">
        <v>10</v>
      </c>
      <c r="B323" s="1" t="s">
        <v>80</v>
      </c>
      <c r="C323" s="4">
        <v>260</v>
      </c>
      <c r="D323" s="8">
        <v>3.37</v>
      </c>
      <c r="E323" s="4">
        <v>113</v>
      </c>
      <c r="F323" s="8">
        <v>3.21</v>
      </c>
      <c r="G323" s="4">
        <v>147</v>
      </c>
      <c r="H323" s="8">
        <v>3.55</v>
      </c>
      <c r="I323" s="4">
        <v>0</v>
      </c>
    </row>
    <row r="324" spans="1:9" x14ac:dyDescent="0.2">
      <c r="A324" s="2">
        <v>11</v>
      </c>
      <c r="B324" s="1" t="s">
        <v>84</v>
      </c>
      <c r="C324" s="4">
        <v>244</v>
      </c>
      <c r="D324" s="8">
        <v>3.17</v>
      </c>
      <c r="E324" s="4">
        <v>24</v>
      </c>
      <c r="F324" s="8">
        <v>0.68</v>
      </c>
      <c r="G324" s="4">
        <v>220</v>
      </c>
      <c r="H324" s="8">
        <v>5.32</v>
      </c>
      <c r="I324" s="4">
        <v>0</v>
      </c>
    </row>
    <row r="325" spans="1:9" x14ac:dyDescent="0.2">
      <c r="A325" s="2">
        <v>12</v>
      </c>
      <c r="B325" s="1" t="s">
        <v>75</v>
      </c>
      <c r="C325" s="4">
        <v>193</v>
      </c>
      <c r="D325" s="8">
        <v>2.5</v>
      </c>
      <c r="E325" s="4">
        <v>30</v>
      </c>
      <c r="F325" s="8">
        <v>0.85</v>
      </c>
      <c r="G325" s="4">
        <v>163</v>
      </c>
      <c r="H325" s="8">
        <v>3.94</v>
      </c>
      <c r="I325" s="4">
        <v>0</v>
      </c>
    </row>
    <row r="326" spans="1:9" x14ac:dyDescent="0.2">
      <c r="A326" s="2">
        <v>13</v>
      </c>
      <c r="B326" s="1" t="s">
        <v>82</v>
      </c>
      <c r="C326" s="4">
        <v>184</v>
      </c>
      <c r="D326" s="8">
        <v>2.39</v>
      </c>
      <c r="E326" s="4">
        <v>88</v>
      </c>
      <c r="F326" s="8">
        <v>2.5</v>
      </c>
      <c r="G326" s="4">
        <v>96</v>
      </c>
      <c r="H326" s="8">
        <v>2.3199999999999998</v>
      </c>
      <c r="I326" s="4">
        <v>0</v>
      </c>
    </row>
    <row r="327" spans="1:9" x14ac:dyDescent="0.2">
      <c r="A327" s="2">
        <v>14</v>
      </c>
      <c r="B327" s="1" t="s">
        <v>76</v>
      </c>
      <c r="C327" s="4">
        <v>175</v>
      </c>
      <c r="D327" s="8">
        <v>2.27</v>
      </c>
      <c r="E327" s="4">
        <v>29</v>
      </c>
      <c r="F327" s="8">
        <v>0.82</v>
      </c>
      <c r="G327" s="4">
        <v>146</v>
      </c>
      <c r="H327" s="8">
        <v>3.53</v>
      </c>
      <c r="I327" s="4">
        <v>0</v>
      </c>
    </row>
    <row r="328" spans="1:9" x14ac:dyDescent="0.2">
      <c r="A328" s="2">
        <v>15</v>
      </c>
      <c r="B328" s="1" t="s">
        <v>87</v>
      </c>
      <c r="C328" s="4">
        <v>153</v>
      </c>
      <c r="D328" s="8">
        <v>1.99</v>
      </c>
      <c r="E328" s="4">
        <v>54</v>
      </c>
      <c r="F328" s="8">
        <v>1.53</v>
      </c>
      <c r="G328" s="4">
        <v>99</v>
      </c>
      <c r="H328" s="8">
        <v>2.39</v>
      </c>
      <c r="I328" s="4">
        <v>0</v>
      </c>
    </row>
    <row r="329" spans="1:9" x14ac:dyDescent="0.2">
      <c r="A329" s="2">
        <v>16</v>
      </c>
      <c r="B329" s="1" t="s">
        <v>90</v>
      </c>
      <c r="C329" s="4">
        <v>129</v>
      </c>
      <c r="D329" s="8">
        <v>1.67</v>
      </c>
      <c r="E329" s="4">
        <v>48</v>
      </c>
      <c r="F329" s="8">
        <v>1.36</v>
      </c>
      <c r="G329" s="4">
        <v>78</v>
      </c>
      <c r="H329" s="8">
        <v>1.88</v>
      </c>
      <c r="I329" s="4">
        <v>0</v>
      </c>
    </row>
    <row r="330" spans="1:9" x14ac:dyDescent="0.2">
      <c r="A330" s="2">
        <v>17</v>
      </c>
      <c r="B330" s="1" t="s">
        <v>79</v>
      </c>
      <c r="C330" s="4">
        <v>110</v>
      </c>
      <c r="D330" s="8">
        <v>1.43</v>
      </c>
      <c r="E330" s="4">
        <v>20</v>
      </c>
      <c r="F330" s="8">
        <v>0.56999999999999995</v>
      </c>
      <c r="G330" s="4">
        <v>90</v>
      </c>
      <c r="H330" s="8">
        <v>2.17</v>
      </c>
      <c r="I330" s="4">
        <v>0</v>
      </c>
    </row>
    <row r="331" spans="1:9" x14ac:dyDescent="0.2">
      <c r="A331" s="2">
        <v>18</v>
      </c>
      <c r="B331" s="1" t="s">
        <v>93</v>
      </c>
      <c r="C331" s="4">
        <v>109</v>
      </c>
      <c r="D331" s="8">
        <v>1.41</v>
      </c>
      <c r="E331" s="4">
        <v>3</v>
      </c>
      <c r="F331" s="8">
        <v>0.09</v>
      </c>
      <c r="G331" s="4">
        <v>104</v>
      </c>
      <c r="H331" s="8">
        <v>2.5099999999999998</v>
      </c>
      <c r="I331" s="4">
        <v>0</v>
      </c>
    </row>
    <row r="332" spans="1:9" x14ac:dyDescent="0.2">
      <c r="A332" s="2">
        <v>19</v>
      </c>
      <c r="B332" s="1" t="s">
        <v>94</v>
      </c>
      <c r="C332" s="4">
        <v>102</v>
      </c>
      <c r="D332" s="8">
        <v>1.32</v>
      </c>
      <c r="E332" s="4">
        <v>11</v>
      </c>
      <c r="F332" s="8">
        <v>0.31</v>
      </c>
      <c r="G332" s="4">
        <v>89</v>
      </c>
      <c r="H332" s="8">
        <v>2.15</v>
      </c>
      <c r="I332" s="4">
        <v>2</v>
      </c>
    </row>
    <row r="333" spans="1:9" x14ac:dyDescent="0.2">
      <c r="A333" s="2">
        <v>20</v>
      </c>
      <c r="B333" s="1" t="s">
        <v>101</v>
      </c>
      <c r="C333" s="4">
        <v>93</v>
      </c>
      <c r="D333" s="8">
        <v>1.21</v>
      </c>
      <c r="E333" s="4">
        <v>8</v>
      </c>
      <c r="F333" s="8">
        <v>0.23</v>
      </c>
      <c r="G333" s="4">
        <v>85</v>
      </c>
      <c r="H333" s="8">
        <v>2.0499999999999998</v>
      </c>
      <c r="I333" s="4">
        <v>0</v>
      </c>
    </row>
    <row r="334" spans="1:9" x14ac:dyDescent="0.2">
      <c r="A334" s="1"/>
      <c r="C334" s="4"/>
      <c r="D334" s="8"/>
      <c r="E334" s="4"/>
      <c r="F334" s="8"/>
      <c r="G334" s="4"/>
      <c r="H334" s="8"/>
      <c r="I334" s="4"/>
    </row>
    <row r="335" spans="1:9" x14ac:dyDescent="0.2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2">
      <c r="A336" s="2">
        <v>1</v>
      </c>
      <c r="B336" s="1" t="s">
        <v>88</v>
      </c>
      <c r="C336" s="4">
        <v>159</v>
      </c>
      <c r="D336" s="8">
        <v>10.96</v>
      </c>
      <c r="E336" s="4">
        <v>154</v>
      </c>
      <c r="F336" s="8">
        <v>17.25</v>
      </c>
      <c r="G336" s="4">
        <v>5</v>
      </c>
      <c r="H336" s="8">
        <v>0.97</v>
      </c>
      <c r="I336" s="4">
        <v>0</v>
      </c>
    </row>
    <row r="337" spans="1:9" x14ac:dyDescent="0.2">
      <c r="A337" s="2">
        <v>2</v>
      </c>
      <c r="B337" s="1" t="s">
        <v>85</v>
      </c>
      <c r="C337" s="4">
        <v>134</v>
      </c>
      <c r="D337" s="8">
        <v>9.24</v>
      </c>
      <c r="E337" s="4">
        <v>68</v>
      </c>
      <c r="F337" s="8">
        <v>7.61</v>
      </c>
      <c r="G337" s="4">
        <v>65</v>
      </c>
      <c r="H337" s="8">
        <v>12.62</v>
      </c>
      <c r="I337" s="4">
        <v>1</v>
      </c>
    </row>
    <row r="338" spans="1:9" x14ac:dyDescent="0.2">
      <c r="A338" s="2">
        <v>3</v>
      </c>
      <c r="B338" s="1" t="s">
        <v>89</v>
      </c>
      <c r="C338" s="4">
        <v>127</v>
      </c>
      <c r="D338" s="8">
        <v>8.75</v>
      </c>
      <c r="E338" s="4">
        <v>114</v>
      </c>
      <c r="F338" s="8">
        <v>12.77</v>
      </c>
      <c r="G338" s="4">
        <v>13</v>
      </c>
      <c r="H338" s="8">
        <v>2.52</v>
      </c>
      <c r="I338" s="4">
        <v>0</v>
      </c>
    </row>
    <row r="339" spans="1:9" x14ac:dyDescent="0.2">
      <c r="A339" s="2">
        <v>4</v>
      </c>
      <c r="B339" s="1" t="s">
        <v>83</v>
      </c>
      <c r="C339" s="4">
        <v>114</v>
      </c>
      <c r="D339" s="8">
        <v>7.86</v>
      </c>
      <c r="E339" s="4">
        <v>63</v>
      </c>
      <c r="F339" s="8">
        <v>7.05</v>
      </c>
      <c r="G339" s="4">
        <v>51</v>
      </c>
      <c r="H339" s="8">
        <v>9.9</v>
      </c>
      <c r="I339" s="4">
        <v>0</v>
      </c>
    </row>
    <row r="340" spans="1:9" x14ac:dyDescent="0.2">
      <c r="A340" s="2">
        <v>5</v>
      </c>
      <c r="B340" s="1" t="s">
        <v>81</v>
      </c>
      <c r="C340" s="4">
        <v>82</v>
      </c>
      <c r="D340" s="8">
        <v>5.65</v>
      </c>
      <c r="E340" s="4">
        <v>69</v>
      </c>
      <c r="F340" s="8">
        <v>7.73</v>
      </c>
      <c r="G340" s="4">
        <v>13</v>
      </c>
      <c r="H340" s="8">
        <v>2.52</v>
      </c>
      <c r="I340" s="4">
        <v>0</v>
      </c>
    </row>
    <row r="341" spans="1:9" x14ac:dyDescent="0.2">
      <c r="A341" s="2">
        <v>6</v>
      </c>
      <c r="B341" s="1" t="s">
        <v>74</v>
      </c>
      <c r="C341" s="4">
        <v>78</v>
      </c>
      <c r="D341" s="8">
        <v>5.38</v>
      </c>
      <c r="E341" s="4">
        <v>24</v>
      </c>
      <c r="F341" s="8">
        <v>2.69</v>
      </c>
      <c r="G341" s="4">
        <v>54</v>
      </c>
      <c r="H341" s="8">
        <v>10.49</v>
      </c>
      <c r="I341" s="4">
        <v>0</v>
      </c>
    </row>
    <row r="342" spans="1:9" x14ac:dyDescent="0.2">
      <c r="A342" s="2">
        <v>7</v>
      </c>
      <c r="B342" s="1" t="s">
        <v>91</v>
      </c>
      <c r="C342" s="4">
        <v>61</v>
      </c>
      <c r="D342" s="8">
        <v>4.2</v>
      </c>
      <c r="E342" s="4">
        <v>38</v>
      </c>
      <c r="F342" s="8">
        <v>4.26</v>
      </c>
      <c r="G342" s="4">
        <v>9</v>
      </c>
      <c r="H342" s="8">
        <v>1.75</v>
      </c>
      <c r="I342" s="4">
        <v>0</v>
      </c>
    </row>
    <row r="343" spans="1:9" x14ac:dyDescent="0.2">
      <c r="A343" s="2">
        <v>8</v>
      </c>
      <c r="B343" s="1" t="s">
        <v>80</v>
      </c>
      <c r="C343" s="4">
        <v>59</v>
      </c>
      <c r="D343" s="8">
        <v>4.07</v>
      </c>
      <c r="E343" s="4">
        <v>38</v>
      </c>
      <c r="F343" s="8">
        <v>4.26</v>
      </c>
      <c r="G343" s="4">
        <v>21</v>
      </c>
      <c r="H343" s="8">
        <v>4.08</v>
      </c>
      <c r="I343" s="4">
        <v>0</v>
      </c>
    </row>
    <row r="344" spans="1:9" x14ac:dyDescent="0.2">
      <c r="A344" s="2">
        <v>9</v>
      </c>
      <c r="B344" s="1" t="s">
        <v>92</v>
      </c>
      <c r="C344" s="4">
        <v>52</v>
      </c>
      <c r="D344" s="8">
        <v>3.58</v>
      </c>
      <c r="E344" s="4">
        <v>45</v>
      </c>
      <c r="F344" s="8">
        <v>5.04</v>
      </c>
      <c r="G344" s="4">
        <v>7</v>
      </c>
      <c r="H344" s="8">
        <v>1.36</v>
      </c>
      <c r="I344" s="4">
        <v>0</v>
      </c>
    </row>
    <row r="345" spans="1:9" x14ac:dyDescent="0.2">
      <c r="A345" s="2">
        <v>10</v>
      </c>
      <c r="B345" s="1" t="s">
        <v>75</v>
      </c>
      <c r="C345" s="4">
        <v>45</v>
      </c>
      <c r="D345" s="8">
        <v>3.1</v>
      </c>
      <c r="E345" s="4">
        <v>26</v>
      </c>
      <c r="F345" s="8">
        <v>2.91</v>
      </c>
      <c r="G345" s="4">
        <v>19</v>
      </c>
      <c r="H345" s="8">
        <v>3.69</v>
      </c>
      <c r="I345" s="4">
        <v>0</v>
      </c>
    </row>
    <row r="346" spans="1:9" x14ac:dyDescent="0.2">
      <c r="A346" s="2">
        <v>11</v>
      </c>
      <c r="B346" s="1" t="s">
        <v>82</v>
      </c>
      <c r="C346" s="4">
        <v>40</v>
      </c>
      <c r="D346" s="8">
        <v>2.76</v>
      </c>
      <c r="E346" s="4">
        <v>34</v>
      </c>
      <c r="F346" s="8">
        <v>3.81</v>
      </c>
      <c r="G346" s="4">
        <v>6</v>
      </c>
      <c r="H346" s="8">
        <v>1.17</v>
      </c>
      <c r="I346" s="4">
        <v>0</v>
      </c>
    </row>
    <row r="347" spans="1:9" x14ac:dyDescent="0.2">
      <c r="A347" s="2">
        <v>12</v>
      </c>
      <c r="B347" s="1" t="s">
        <v>76</v>
      </c>
      <c r="C347" s="4">
        <v>38</v>
      </c>
      <c r="D347" s="8">
        <v>2.62</v>
      </c>
      <c r="E347" s="4">
        <v>16</v>
      </c>
      <c r="F347" s="8">
        <v>1.79</v>
      </c>
      <c r="G347" s="4">
        <v>22</v>
      </c>
      <c r="H347" s="8">
        <v>4.2699999999999996</v>
      </c>
      <c r="I347" s="4">
        <v>0</v>
      </c>
    </row>
    <row r="348" spans="1:9" x14ac:dyDescent="0.2">
      <c r="A348" s="2">
        <v>13</v>
      </c>
      <c r="B348" s="1" t="s">
        <v>86</v>
      </c>
      <c r="C348" s="4">
        <v>35</v>
      </c>
      <c r="D348" s="8">
        <v>2.41</v>
      </c>
      <c r="E348" s="4">
        <v>29</v>
      </c>
      <c r="F348" s="8">
        <v>3.25</v>
      </c>
      <c r="G348" s="4">
        <v>6</v>
      </c>
      <c r="H348" s="8">
        <v>1.17</v>
      </c>
      <c r="I348" s="4">
        <v>0</v>
      </c>
    </row>
    <row r="349" spans="1:9" x14ac:dyDescent="0.2">
      <c r="A349" s="2">
        <v>14</v>
      </c>
      <c r="B349" s="1" t="s">
        <v>87</v>
      </c>
      <c r="C349" s="4">
        <v>33</v>
      </c>
      <c r="D349" s="8">
        <v>2.27</v>
      </c>
      <c r="E349" s="4">
        <v>21</v>
      </c>
      <c r="F349" s="8">
        <v>2.35</v>
      </c>
      <c r="G349" s="4">
        <v>12</v>
      </c>
      <c r="H349" s="8">
        <v>2.33</v>
      </c>
      <c r="I349" s="4">
        <v>0</v>
      </c>
    </row>
    <row r="350" spans="1:9" x14ac:dyDescent="0.2">
      <c r="A350" s="2">
        <v>15</v>
      </c>
      <c r="B350" s="1" t="s">
        <v>93</v>
      </c>
      <c r="C350" s="4">
        <v>32</v>
      </c>
      <c r="D350" s="8">
        <v>2.21</v>
      </c>
      <c r="E350" s="4">
        <v>0</v>
      </c>
      <c r="F350" s="8">
        <v>0</v>
      </c>
      <c r="G350" s="4">
        <v>22</v>
      </c>
      <c r="H350" s="8">
        <v>4.2699999999999996</v>
      </c>
      <c r="I350" s="4">
        <v>0</v>
      </c>
    </row>
    <row r="351" spans="1:9" x14ac:dyDescent="0.2">
      <c r="A351" s="2">
        <v>16</v>
      </c>
      <c r="B351" s="1" t="s">
        <v>104</v>
      </c>
      <c r="C351" s="4">
        <v>25</v>
      </c>
      <c r="D351" s="8">
        <v>1.72</v>
      </c>
      <c r="E351" s="4">
        <v>20</v>
      </c>
      <c r="F351" s="8">
        <v>2.2400000000000002</v>
      </c>
      <c r="G351" s="4">
        <v>4</v>
      </c>
      <c r="H351" s="8">
        <v>0.78</v>
      </c>
      <c r="I351" s="4">
        <v>1</v>
      </c>
    </row>
    <row r="352" spans="1:9" x14ac:dyDescent="0.2">
      <c r="A352" s="2">
        <v>17</v>
      </c>
      <c r="B352" s="1" t="s">
        <v>95</v>
      </c>
      <c r="C352" s="4">
        <v>23</v>
      </c>
      <c r="D352" s="8">
        <v>1.59</v>
      </c>
      <c r="E352" s="4">
        <v>14</v>
      </c>
      <c r="F352" s="8">
        <v>1.57</v>
      </c>
      <c r="G352" s="4">
        <v>9</v>
      </c>
      <c r="H352" s="8">
        <v>1.75</v>
      </c>
      <c r="I352" s="4">
        <v>0</v>
      </c>
    </row>
    <row r="353" spans="1:9" x14ac:dyDescent="0.2">
      <c r="A353" s="2">
        <v>18</v>
      </c>
      <c r="B353" s="1" t="s">
        <v>105</v>
      </c>
      <c r="C353" s="4">
        <v>22</v>
      </c>
      <c r="D353" s="8">
        <v>1.52</v>
      </c>
      <c r="E353" s="4">
        <v>15</v>
      </c>
      <c r="F353" s="8">
        <v>1.68</v>
      </c>
      <c r="G353" s="4">
        <v>7</v>
      </c>
      <c r="H353" s="8">
        <v>1.36</v>
      </c>
      <c r="I353" s="4">
        <v>0</v>
      </c>
    </row>
    <row r="354" spans="1:9" x14ac:dyDescent="0.2">
      <c r="A354" s="2">
        <v>19</v>
      </c>
      <c r="B354" s="1" t="s">
        <v>90</v>
      </c>
      <c r="C354" s="4">
        <v>21</v>
      </c>
      <c r="D354" s="8">
        <v>1.45</v>
      </c>
      <c r="E354" s="4">
        <v>9</v>
      </c>
      <c r="F354" s="8">
        <v>1.01</v>
      </c>
      <c r="G354" s="4">
        <v>5</v>
      </c>
      <c r="H354" s="8">
        <v>0.97</v>
      </c>
      <c r="I354" s="4">
        <v>0</v>
      </c>
    </row>
    <row r="355" spans="1:9" x14ac:dyDescent="0.2">
      <c r="A355" s="2">
        <v>20</v>
      </c>
      <c r="B355" s="1" t="s">
        <v>102</v>
      </c>
      <c r="C355" s="4">
        <v>18</v>
      </c>
      <c r="D355" s="8">
        <v>1.24</v>
      </c>
      <c r="E355" s="4">
        <v>3</v>
      </c>
      <c r="F355" s="8">
        <v>0.34</v>
      </c>
      <c r="G355" s="4">
        <v>15</v>
      </c>
      <c r="H355" s="8">
        <v>2.91</v>
      </c>
      <c r="I355" s="4">
        <v>0</v>
      </c>
    </row>
    <row r="356" spans="1:9" x14ac:dyDescent="0.2">
      <c r="A356" s="1"/>
      <c r="C356" s="4"/>
      <c r="D356" s="8"/>
      <c r="E356" s="4"/>
      <c r="F356" s="8"/>
      <c r="G356" s="4"/>
      <c r="H356" s="8"/>
      <c r="I356" s="4"/>
    </row>
    <row r="357" spans="1:9" x14ac:dyDescent="0.2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2">
      <c r="A358" s="2">
        <v>1</v>
      </c>
      <c r="B358" s="1" t="s">
        <v>85</v>
      </c>
      <c r="C358" s="4">
        <v>269</v>
      </c>
      <c r="D358" s="8">
        <v>14.28</v>
      </c>
      <c r="E358" s="4">
        <v>14</v>
      </c>
      <c r="F358" s="8">
        <v>2.0499999999999998</v>
      </c>
      <c r="G358" s="4">
        <v>252</v>
      </c>
      <c r="H358" s="8">
        <v>21.32</v>
      </c>
      <c r="I358" s="4">
        <v>3</v>
      </c>
    </row>
    <row r="359" spans="1:9" x14ac:dyDescent="0.2">
      <c r="A359" s="2">
        <v>2</v>
      </c>
      <c r="B359" s="1" t="s">
        <v>89</v>
      </c>
      <c r="C359" s="4">
        <v>176</v>
      </c>
      <c r="D359" s="8">
        <v>9.34</v>
      </c>
      <c r="E359" s="4">
        <v>118</v>
      </c>
      <c r="F359" s="8">
        <v>17.25</v>
      </c>
      <c r="G359" s="4">
        <v>58</v>
      </c>
      <c r="H359" s="8">
        <v>4.91</v>
      </c>
      <c r="I359" s="4">
        <v>0</v>
      </c>
    </row>
    <row r="360" spans="1:9" x14ac:dyDescent="0.2">
      <c r="A360" s="2">
        <v>3</v>
      </c>
      <c r="B360" s="1" t="s">
        <v>88</v>
      </c>
      <c r="C360" s="4">
        <v>171</v>
      </c>
      <c r="D360" s="8">
        <v>9.08</v>
      </c>
      <c r="E360" s="4">
        <v>128</v>
      </c>
      <c r="F360" s="8">
        <v>18.71</v>
      </c>
      <c r="G360" s="4">
        <v>43</v>
      </c>
      <c r="H360" s="8">
        <v>3.64</v>
      </c>
      <c r="I360" s="4">
        <v>0</v>
      </c>
    </row>
    <row r="361" spans="1:9" x14ac:dyDescent="0.2">
      <c r="A361" s="2">
        <v>4</v>
      </c>
      <c r="B361" s="1" t="s">
        <v>86</v>
      </c>
      <c r="C361" s="4">
        <v>136</v>
      </c>
      <c r="D361" s="8">
        <v>7.22</v>
      </c>
      <c r="E361" s="4">
        <v>44</v>
      </c>
      <c r="F361" s="8">
        <v>6.43</v>
      </c>
      <c r="G361" s="4">
        <v>92</v>
      </c>
      <c r="H361" s="8">
        <v>7.78</v>
      </c>
      <c r="I361" s="4">
        <v>0</v>
      </c>
    </row>
    <row r="362" spans="1:9" x14ac:dyDescent="0.2">
      <c r="A362" s="2">
        <v>5</v>
      </c>
      <c r="B362" s="1" t="s">
        <v>83</v>
      </c>
      <c r="C362" s="4">
        <v>119</v>
      </c>
      <c r="D362" s="8">
        <v>6.32</v>
      </c>
      <c r="E362" s="4">
        <v>53</v>
      </c>
      <c r="F362" s="8">
        <v>7.75</v>
      </c>
      <c r="G362" s="4">
        <v>65</v>
      </c>
      <c r="H362" s="8">
        <v>5.5</v>
      </c>
      <c r="I362" s="4">
        <v>1</v>
      </c>
    </row>
    <row r="363" spans="1:9" x14ac:dyDescent="0.2">
      <c r="A363" s="2">
        <v>5</v>
      </c>
      <c r="B363" s="1" t="s">
        <v>92</v>
      </c>
      <c r="C363" s="4">
        <v>119</v>
      </c>
      <c r="D363" s="8">
        <v>6.32</v>
      </c>
      <c r="E363" s="4">
        <v>102</v>
      </c>
      <c r="F363" s="8">
        <v>14.91</v>
      </c>
      <c r="G363" s="4">
        <v>17</v>
      </c>
      <c r="H363" s="8">
        <v>1.44</v>
      </c>
      <c r="I363" s="4">
        <v>0</v>
      </c>
    </row>
    <row r="364" spans="1:9" x14ac:dyDescent="0.2">
      <c r="A364" s="2">
        <v>7</v>
      </c>
      <c r="B364" s="1" t="s">
        <v>91</v>
      </c>
      <c r="C364" s="4">
        <v>91</v>
      </c>
      <c r="D364" s="8">
        <v>4.83</v>
      </c>
      <c r="E364" s="4">
        <v>45</v>
      </c>
      <c r="F364" s="8">
        <v>6.58</v>
      </c>
      <c r="G364" s="4">
        <v>45</v>
      </c>
      <c r="H364" s="8">
        <v>3.81</v>
      </c>
      <c r="I364" s="4">
        <v>1</v>
      </c>
    </row>
    <row r="365" spans="1:9" x14ac:dyDescent="0.2">
      <c r="A365" s="2">
        <v>8</v>
      </c>
      <c r="B365" s="1" t="s">
        <v>80</v>
      </c>
      <c r="C365" s="4">
        <v>86</v>
      </c>
      <c r="D365" s="8">
        <v>4.5599999999999996</v>
      </c>
      <c r="E365" s="4">
        <v>34</v>
      </c>
      <c r="F365" s="8">
        <v>4.97</v>
      </c>
      <c r="G365" s="4">
        <v>52</v>
      </c>
      <c r="H365" s="8">
        <v>4.4000000000000004</v>
      </c>
      <c r="I365" s="4">
        <v>0</v>
      </c>
    </row>
    <row r="366" spans="1:9" x14ac:dyDescent="0.2">
      <c r="A366" s="2">
        <v>9</v>
      </c>
      <c r="B366" s="1" t="s">
        <v>81</v>
      </c>
      <c r="C366" s="4">
        <v>85</v>
      </c>
      <c r="D366" s="8">
        <v>4.51</v>
      </c>
      <c r="E366" s="4">
        <v>45</v>
      </c>
      <c r="F366" s="8">
        <v>6.58</v>
      </c>
      <c r="G366" s="4">
        <v>39</v>
      </c>
      <c r="H366" s="8">
        <v>3.3</v>
      </c>
      <c r="I366" s="4">
        <v>1</v>
      </c>
    </row>
    <row r="367" spans="1:9" x14ac:dyDescent="0.2">
      <c r="A367" s="2">
        <v>10</v>
      </c>
      <c r="B367" s="1" t="s">
        <v>84</v>
      </c>
      <c r="C367" s="4">
        <v>71</v>
      </c>
      <c r="D367" s="8">
        <v>3.77</v>
      </c>
      <c r="E367" s="4">
        <v>5</v>
      </c>
      <c r="F367" s="8">
        <v>0.73</v>
      </c>
      <c r="G367" s="4">
        <v>66</v>
      </c>
      <c r="H367" s="8">
        <v>5.58</v>
      </c>
      <c r="I367" s="4">
        <v>0</v>
      </c>
    </row>
    <row r="368" spans="1:9" x14ac:dyDescent="0.2">
      <c r="A368" s="2">
        <v>11</v>
      </c>
      <c r="B368" s="1" t="s">
        <v>74</v>
      </c>
      <c r="C368" s="4">
        <v>56</v>
      </c>
      <c r="D368" s="8">
        <v>2.97</v>
      </c>
      <c r="E368" s="4">
        <v>8</v>
      </c>
      <c r="F368" s="8">
        <v>1.17</v>
      </c>
      <c r="G368" s="4">
        <v>48</v>
      </c>
      <c r="H368" s="8">
        <v>4.0599999999999996</v>
      </c>
      <c r="I368" s="4">
        <v>0</v>
      </c>
    </row>
    <row r="369" spans="1:9" x14ac:dyDescent="0.2">
      <c r="A369" s="2">
        <v>12</v>
      </c>
      <c r="B369" s="1" t="s">
        <v>87</v>
      </c>
      <c r="C369" s="4">
        <v>45</v>
      </c>
      <c r="D369" s="8">
        <v>2.39</v>
      </c>
      <c r="E369" s="4">
        <v>20</v>
      </c>
      <c r="F369" s="8">
        <v>2.92</v>
      </c>
      <c r="G369" s="4">
        <v>25</v>
      </c>
      <c r="H369" s="8">
        <v>2.12</v>
      </c>
      <c r="I369" s="4">
        <v>0</v>
      </c>
    </row>
    <row r="370" spans="1:9" x14ac:dyDescent="0.2">
      <c r="A370" s="2">
        <v>13</v>
      </c>
      <c r="B370" s="1" t="s">
        <v>79</v>
      </c>
      <c r="C370" s="4">
        <v>40</v>
      </c>
      <c r="D370" s="8">
        <v>2.12</v>
      </c>
      <c r="E370" s="4">
        <v>3</v>
      </c>
      <c r="F370" s="8">
        <v>0.44</v>
      </c>
      <c r="G370" s="4">
        <v>37</v>
      </c>
      <c r="H370" s="8">
        <v>3.13</v>
      </c>
      <c r="I370" s="4">
        <v>0</v>
      </c>
    </row>
    <row r="371" spans="1:9" x14ac:dyDescent="0.2">
      <c r="A371" s="2">
        <v>14</v>
      </c>
      <c r="B371" s="1" t="s">
        <v>94</v>
      </c>
      <c r="C371" s="4">
        <v>36</v>
      </c>
      <c r="D371" s="8">
        <v>1.91</v>
      </c>
      <c r="E371" s="4">
        <v>3</v>
      </c>
      <c r="F371" s="8">
        <v>0.44</v>
      </c>
      <c r="G371" s="4">
        <v>33</v>
      </c>
      <c r="H371" s="8">
        <v>2.79</v>
      </c>
      <c r="I371" s="4">
        <v>0</v>
      </c>
    </row>
    <row r="372" spans="1:9" x14ac:dyDescent="0.2">
      <c r="A372" s="2">
        <v>15</v>
      </c>
      <c r="B372" s="1" t="s">
        <v>90</v>
      </c>
      <c r="C372" s="4">
        <v>26</v>
      </c>
      <c r="D372" s="8">
        <v>1.38</v>
      </c>
      <c r="E372" s="4">
        <v>10</v>
      </c>
      <c r="F372" s="8">
        <v>1.46</v>
      </c>
      <c r="G372" s="4">
        <v>16</v>
      </c>
      <c r="H372" s="8">
        <v>1.35</v>
      </c>
      <c r="I372" s="4">
        <v>0</v>
      </c>
    </row>
    <row r="373" spans="1:9" x14ac:dyDescent="0.2">
      <c r="A373" s="2">
        <v>16</v>
      </c>
      <c r="B373" s="1" t="s">
        <v>78</v>
      </c>
      <c r="C373" s="4">
        <v>24</v>
      </c>
      <c r="D373" s="8">
        <v>1.27</v>
      </c>
      <c r="E373" s="4">
        <v>0</v>
      </c>
      <c r="F373" s="8">
        <v>0</v>
      </c>
      <c r="G373" s="4">
        <v>24</v>
      </c>
      <c r="H373" s="8">
        <v>2.0299999999999998</v>
      </c>
      <c r="I373" s="4">
        <v>0</v>
      </c>
    </row>
    <row r="374" spans="1:9" x14ac:dyDescent="0.2">
      <c r="A374" s="2">
        <v>17</v>
      </c>
      <c r="B374" s="1" t="s">
        <v>76</v>
      </c>
      <c r="C374" s="4">
        <v>22</v>
      </c>
      <c r="D374" s="8">
        <v>1.17</v>
      </c>
      <c r="E374" s="4">
        <v>6</v>
      </c>
      <c r="F374" s="8">
        <v>0.88</v>
      </c>
      <c r="G374" s="4">
        <v>16</v>
      </c>
      <c r="H374" s="8">
        <v>1.35</v>
      </c>
      <c r="I374" s="4">
        <v>0</v>
      </c>
    </row>
    <row r="375" spans="1:9" x14ac:dyDescent="0.2">
      <c r="A375" s="2">
        <v>17</v>
      </c>
      <c r="B375" s="1" t="s">
        <v>107</v>
      </c>
      <c r="C375" s="4">
        <v>22</v>
      </c>
      <c r="D375" s="8">
        <v>1.17</v>
      </c>
      <c r="E375" s="4">
        <v>11</v>
      </c>
      <c r="F375" s="8">
        <v>1.61</v>
      </c>
      <c r="G375" s="4">
        <v>11</v>
      </c>
      <c r="H375" s="8">
        <v>0.93</v>
      </c>
      <c r="I375" s="4">
        <v>0</v>
      </c>
    </row>
    <row r="376" spans="1:9" x14ac:dyDescent="0.2">
      <c r="A376" s="2">
        <v>19</v>
      </c>
      <c r="B376" s="1" t="s">
        <v>101</v>
      </c>
      <c r="C376" s="4">
        <v>21</v>
      </c>
      <c r="D376" s="8">
        <v>1.1100000000000001</v>
      </c>
      <c r="E376" s="4">
        <v>2</v>
      </c>
      <c r="F376" s="8">
        <v>0.28999999999999998</v>
      </c>
      <c r="G376" s="4">
        <v>19</v>
      </c>
      <c r="H376" s="8">
        <v>1.61</v>
      </c>
      <c r="I376" s="4">
        <v>0</v>
      </c>
    </row>
    <row r="377" spans="1:9" x14ac:dyDescent="0.2">
      <c r="A377" s="2">
        <v>20</v>
      </c>
      <c r="B377" s="1" t="s">
        <v>75</v>
      </c>
      <c r="C377" s="4">
        <v>19</v>
      </c>
      <c r="D377" s="8">
        <v>1.01</v>
      </c>
      <c r="E377" s="4">
        <v>4</v>
      </c>
      <c r="F377" s="8">
        <v>0.57999999999999996</v>
      </c>
      <c r="G377" s="4">
        <v>15</v>
      </c>
      <c r="H377" s="8">
        <v>1.27</v>
      </c>
      <c r="I377" s="4">
        <v>0</v>
      </c>
    </row>
    <row r="378" spans="1:9" x14ac:dyDescent="0.2">
      <c r="A378" s="2">
        <v>20</v>
      </c>
      <c r="B378" s="1" t="s">
        <v>106</v>
      </c>
      <c r="C378" s="4">
        <v>19</v>
      </c>
      <c r="D378" s="8">
        <v>1.01</v>
      </c>
      <c r="E378" s="4">
        <v>1</v>
      </c>
      <c r="F378" s="8">
        <v>0.15</v>
      </c>
      <c r="G378" s="4">
        <v>18</v>
      </c>
      <c r="H378" s="8">
        <v>1.52</v>
      </c>
      <c r="I378" s="4">
        <v>0</v>
      </c>
    </row>
    <row r="379" spans="1:9" x14ac:dyDescent="0.2">
      <c r="A379" s="1"/>
      <c r="C379" s="4"/>
      <c r="D379" s="8"/>
      <c r="E379" s="4"/>
      <c r="F379" s="8"/>
      <c r="G379" s="4"/>
      <c r="H379" s="8"/>
      <c r="I379" s="4"/>
    </row>
    <row r="380" spans="1:9" x14ac:dyDescent="0.2">
      <c r="A380" s="1" t="s">
        <v>17</v>
      </c>
      <c r="C380" s="4"/>
      <c r="D380" s="8"/>
      <c r="E380" s="4"/>
      <c r="F380" s="8"/>
      <c r="G380" s="4"/>
      <c r="H380" s="8"/>
      <c r="I380" s="4"/>
    </row>
    <row r="381" spans="1:9" x14ac:dyDescent="0.2">
      <c r="A381" s="2">
        <v>1</v>
      </c>
      <c r="B381" s="1" t="s">
        <v>88</v>
      </c>
      <c r="C381" s="4">
        <v>390</v>
      </c>
      <c r="D381" s="8">
        <v>12.42</v>
      </c>
      <c r="E381" s="4">
        <v>351</v>
      </c>
      <c r="F381" s="8">
        <v>24.38</v>
      </c>
      <c r="G381" s="4">
        <v>39</v>
      </c>
      <c r="H381" s="8">
        <v>2.2999999999999998</v>
      </c>
      <c r="I381" s="4">
        <v>0</v>
      </c>
    </row>
    <row r="382" spans="1:9" x14ac:dyDescent="0.2">
      <c r="A382" s="2">
        <v>2</v>
      </c>
      <c r="B382" s="1" t="s">
        <v>89</v>
      </c>
      <c r="C382" s="4">
        <v>306</v>
      </c>
      <c r="D382" s="8">
        <v>9.74</v>
      </c>
      <c r="E382" s="4">
        <v>256</v>
      </c>
      <c r="F382" s="8">
        <v>17.78</v>
      </c>
      <c r="G382" s="4">
        <v>50</v>
      </c>
      <c r="H382" s="8">
        <v>2.96</v>
      </c>
      <c r="I382" s="4">
        <v>0</v>
      </c>
    </row>
    <row r="383" spans="1:9" x14ac:dyDescent="0.2">
      <c r="A383" s="2">
        <v>3</v>
      </c>
      <c r="B383" s="1" t="s">
        <v>85</v>
      </c>
      <c r="C383" s="4">
        <v>297</v>
      </c>
      <c r="D383" s="8">
        <v>9.4600000000000009</v>
      </c>
      <c r="E383" s="4">
        <v>45</v>
      </c>
      <c r="F383" s="8">
        <v>3.13</v>
      </c>
      <c r="G383" s="4">
        <v>251</v>
      </c>
      <c r="H383" s="8">
        <v>14.83</v>
      </c>
      <c r="I383" s="4">
        <v>0</v>
      </c>
    </row>
    <row r="384" spans="1:9" x14ac:dyDescent="0.2">
      <c r="A384" s="2">
        <v>4</v>
      </c>
      <c r="B384" s="1" t="s">
        <v>74</v>
      </c>
      <c r="C384" s="4">
        <v>190</v>
      </c>
      <c r="D384" s="8">
        <v>6.05</v>
      </c>
      <c r="E384" s="4">
        <v>25</v>
      </c>
      <c r="F384" s="8">
        <v>1.74</v>
      </c>
      <c r="G384" s="4">
        <v>165</v>
      </c>
      <c r="H384" s="8">
        <v>9.75</v>
      </c>
      <c r="I384" s="4">
        <v>0</v>
      </c>
    </row>
    <row r="385" spans="1:9" x14ac:dyDescent="0.2">
      <c r="A385" s="2">
        <v>5</v>
      </c>
      <c r="B385" s="1" t="s">
        <v>83</v>
      </c>
      <c r="C385" s="4">
        <v>164</v>
      </c>
      <c r="D385" s="8">
        <v>5.22</v>
      </c>
      <c r="E385" s="4">
        <v>89</v>
      </c>
      <c r="F385" s="8">
        <v>6.18</v>
      </c>
      <c r="G385" s="4">
        <v>74</v>
      </c>
      <c r="H385" s="8">
        <v>4.37</v>
      </c>
      <c r="I385" s="4">
        <v>1</v>
      </c>
    </row>
    <row r="386" spans="1:9" x14ac:dyDescent="0.2">
      <c r="A386" s="2">
        <v>6</v>
      </c>
      <c r="B386" s="1" t="s">
        <v>76</v>
      </c>
      <c r="C386" s="4">
        <v>144</v>
      </c>
      <c r="D386" s="8">
        <v>4.58</v>
      </c>
      <c r="E386" s="4">
        <v>22</v>
      </c>
      <c r="F386" s="8">
        <v>1.53</v>
      </c>
      <c r="G386" s="4">
        <v>122</v>
      </c>
      <c r="H386" s="8">
        <v>7.21</v>
      </c>
      <c r="I386" s="4">
        <v>0</v>
      </c>
    </row>
    <row r="387" spans="1:9" x14ac:dyDescent="0.2">
      <c r="A387" s="2">
        <v>7</v>
      </c>
      <c r="B387" s="1" t="s">
        <v>91</v>
      </c>
      <c r="C387" s="4">
        <v>137</v>
      </c>
      <c r="D387" s="8">
        <v>4.3600000000000003</v>
      </c>
      <c r="E387" s="4">
        <v>96</v>
      </c>
      <c r="F387" s="8">
        <v>6.67</v>
      </c>
      <c r="G387" s="4">
        <v>37</v>
      </c>
      <c r="H387" s="8">
        <v>2.19</v>
      </c>
      <c r="I387" s="4">
        <v>1</v>
      </c>
    </row>
    <row r="388" spans="1:9" x14ac:dyDescent="0.2">
      <c r="A388" s="2">
        <v>8</v>
      </c>
      <c r="B388" s="1" t="s">
        <v>75</v>
      </c>
      <c r="C388" s="4">
        <v>131</v>
      </c>
      <c r="D388" s="8">
        <v>4.17</v>
      </c>
      <c r="E388" s="4">
        <v>34</v>
      </c>
      <c r="F388" s="8">
        <v>2.36</v>
      </c>
      <c r="G388" s="4">
        <v>97</v>
      </c>
      <c r="H388" s="8">
        <v>5.73</v>
      </c>
      <c r="I388" s="4">
        <v>0</v>
      </c>
    </row>
    <row r="389" spans="1:9" x14ac:dyDescent="0.2">
      <c r="A389" s="2">
        <v>9</v>
      </c>
      <c r="B389" s="1" t="s">
        <v>92</v>
      </c>
      <c r="C389" s="4">
        <v>123</v>
      </c>
      <c r="D389" s="8">
        <v>3.92</v>
      </c>
      <c r="E389" s="4">
        <v>106</v>
      </c>
      <c r="F389" s="8">
        <v>7.36</v>
      </c>
      <c r="G389" s="4">
        <v>17</v>
      </c>
      <c r="H389" s="8">
        <v>1</v>
      </c>
      <c r="I389" s="4">
        <v>0</v>
      </c>
    </row>
    <row r="390" spans="1:9" x14ac:dyDescent="0.2">
      <c r="A390" s="2">
        <v>10</v>
      </c>
      <c r="B390" s="1" t="s">
        <v>81</v>
      </c>
      <c r="C390" s="4">
        <v>117</v>
      </c>
      <c r="D390" s="8">
        <v>3.72</v>
      </c>
      <c r="E390" s="4">
        <v>81</v>
      </c>
      <c r="F390" s="8">
        <v>5.63</v>
      </c>
      <c r="G390" s="4">
        <v>35</v>
      </c>
      <c r="H390" s="8">
        <v>2.0699999999999998</v>
      </c>
      <c r="I390" s="4">
        <v>1</v>
      </c>
    </row>
    <row r="391" spans="1:9" x14ac:dyDescent="0.2">
      <c r="A391" s="2">
        <v>11</v>
      </c>
      <c r="B391" s="1" t="s">
        <v>82</v>
      </c>
      <c r="C391" s="4">
        <v>105</v>
      </c>
      <c r="D391" s="8">
        <v>3.34</v>
      </c>
      <c r="E391" s="4">
        <v>58</v>
      </c>
      <c r="F391" s="8">
        <v>4.03</v>
      </c>
      <c r="G391" s="4">
        <v>47</v>
      </c>
      <c r="H391" s="8">
        <v>2.78</v>
      </c>
      <c r="I391" s="4">
        <v>0</v>
      </c>
    </row>
    <row r="392" spans="1:9" x14ac:dyDescent="0.2">
      <c r="A392" s="2">
        <v>12</v>
      </c>
      <c r="B392" s="1" t="s">
        <v>86</v>
      </c>
      <c r="C392" s="4">
        <v>96</v>
      </c>
      <c r="D392" s="8">
        <v>3.06</v>
      </c>
      <c r="E392" s="4">
        <v>48</v>
      </c>
      <c r="F392" s="8">
        <v>3.33</v>
      </c>
      <c r="G392" s="4">
        <v>48</v>
      </c>
      <c r="H392" s="8">
        <v>2.84</v>
      </c>
      <c r="I392" s="4">
        <v>0</v>
      </c>
    </row>
    <row r="393" spans="1:9" x14ac:dyDescent="0.2">
      <c r="A393" s="2">
        <v>13</v>
      </c>
      <c r="B393" s="1" t="s">
        <v>84</v>
      </c>
      <c r="C393" s="4">
        <v>75</v>
      </c>
      <c r="D393" s="8">
        <v>2.39</v>
      </c>
      <c r="E393" s="4">
        <v>9</v>
      </c>
      <c r="F393" s="8">
        <v>0.63</v>
      </c>
      <c r="G393" s="4">
        <v>66</v>
      </c>
      <c r="H393" s="8">
        <v>3.9</v>
      </c>
      <c r="I393" s="4">
        <v>0</v>
      </c>
    </row>
    <row r="394" spans="1:9" x14ac:dyDescent="0.2">
      <c r="A394" s="2">
        <v>14</v>
      </c>
      <c r="B394" s="1" t="s">
        <v>80</v>
      </c>
      <c r="C394" s="4">
        <v>68</v>
      </c>
      <c r="D394" s="8">
        <v>2.16</v>
      </c>
      <c r="E394" s="4">
        <v>24</v>
      </c>
      <c r="F394" s="8">
        <v>1.67</v>
      </c>
      <c r="G394" s="4">
        <v>44</v>
      </c>
      <c r="H394" s="8">
        <v>2.6</v>
      </c>
      <c r="I394" s="4">
        <v>0</v>
      </c>
    </row>
    <row r="395" spans="1:9" x14ac:dyDescent="0.2">
      <c r="A395" s="2">
        <v>15</v>
      </c>
      <c r="B395" s="1" t="s">
        <v>100</v>
      </c>
      <c r="C395" s="4">
        <v>47</v>
      </c>
      <c r="D395" s="8">
        <v>1.5</v>
      </c>
      <c r="E395" s="4">
        <v>9</v>
      </c>
      <c r="F395" s="8">
        <v>0.63</v>
      </c>
      <c r="G395" s="4">
        <v>38</v>
      </c>
      <c r="H395" s="8">
        <v>2.25</v>
      </c>
      <c r="I395" s="4">
        <v>0</v>
      </c>
    </row>
    <row r="396" spans="1:9" x14ac:dyDescent="0.2">
      <c r="A396" s="2">
        <v>15</v>
      </c>
      <c r="B396" s="1" t="s">
        <v>93</v>
      </c>
      <c r="C396" s="4">
        <v>47</v>
      </c>
      <c r="D396" s="8">
        <v>1.5</v>
      </c>
      <c r="E396" s="4">
        <v>0</v>
      </c>
      <c r="F396" s="8">
        <v>0</v>
      </c>
      <c r="G396" s="4">
        <v>47</v>
      </c>
      <c r="H396" s="8">
        <v>2.78</v>
      </c>
      <c r="I396" s="4">
        <v>0</v>
      </c>
    </row>
    <row r="397" spans="1:9" x14ac:dyDescent="0.2">
      <c r="A397" s="2">
        <v>17</v>
      </c>
      <c r="B397" s="1" t="s">
        <v>97</v>
      </c>
      <c r="C397" s="4">
        <v>46</v>
      </c>
      <c r="D397" s="8">
        <v>1.46</v>
      </c>
      <c r="E397" s="4">
        <v>13</v>
      </c>
      <c r="F397" s="8">
        <v>0.9</v>
      </c>
      <c r="G397" s="4">
        <v>33</v>
      </c>
      <c r="H397" s="8">
        <v>1.95</v>
      </c>
      <c r="I397" s="4">
        <v>0</v>
      </c>
    </row>
    <row r="398" spans="1:9" x14ac:dyDescent="0.2">
      <c r="A398" s="2">
        <v>18</v>
      </c>
      <c r="B398" s="1" t="s">
        <v>87</v>
      </c>
      <c r="C398" s="4">
        <v>45</v>
      </c>
      <c r="D398" s="8">
        <v>1.43</v>
      </c>
      <c r="E398" s="4">
        <v>21</v>
      </c>
      <c r="F398" s="8">
        <v>1.46</v>
      </c>
      <c r="G398" s="4">
        <v>24</v>
      </c>
      <c r="H398" s="8">
        <v>1.42</v>
      </c>
      <c r="I398" s="4">
        <v>0</v>
      </c>
    </row>
    <row r="399" spans="1:9" x14ac:dyDescent="0.2">
      <c r="A399" s="2">
        <v>19</v>
      </c>
      <c r="B399" s="1" t="s">
        <v>77</v>
      </c>
      <c r="C399" s="4">
        <v>44</v>
      </c>
      <c r="D399" s="8">
        <v>1.4</v>
      </c>
      <c r="E399" s="4">
        <v>7</v>
      </c>
      <c r="F399" s="8">
        <v>0.49</v>
      </c>
      <c r="G399" s="4">
        <v>37</v>
      </c>
      <c r="H399" s="8">
        <v>2.19</v>
      </c>
      <c r="I399" s="4">
        <v>0</v>
      </c>
    </row>
    <row r="400" spans="1:9" x14ac:dyDescent="0.2">
      <c r="A400" s="2">
        <v>20</v>
      </c>
      <c r="B400" s="1" t="s">
        <v>78</v>
      </c>
      <c r="C400" s="4">
        <v>40</v>
      </c>
      <c r="D400" s="8">
        <v>1.27</v>
      </c>
      <c r="E400" s="4">
        <v>3</v>
      </c>
      <c r="F400" s="8">
        <v>0.21</v>
      </c>
      <c r="G400" s="4">
        <v>37</v>
      </c>
      <c r="H400" s="8">
        <v>2.19</v>
      </c>
      <c r="I400" s="4">
        <v>0</v>
      </c>
    </row>
    <row r="401" spans="1:9" x14ac:dyDescent="0.2">
      <c r="A401" s="1"/>
      <c r="C401" s="4"/>
      <c r="D401" s="8"/>
      <c r="E401" s="4"/>
      <c r="F401" s="8"/>
      <c r="G401" s="4"/>
      <c r="H401" s="8"/>
      <c r="I401" s="4"/>
    </row>
    <row r="402" spans="1:9" x14ac:dyDescent="0.2">
      <c r="A402" s="1" t="s">
        <v>18</v>
      </c>
      <c r="C402" s="4"/>
      <c r="D402" s="8"/>
      <c r="E402" s="4"/>
      <c r="F402" s="8"/>
      <c r="G402" s="4"/>
      <c r="H402" s="8"/>
      <c r="I402" s="4"/>
    </row>
    <row r="403" spans="1:9" x14ac:dyDescent="0.2">
      <c r="A403" s="2">
        <v>1</v>
      </c>
      <c r="B403" s="1" t="s">
        <v>88</v>
      </c>
      <c r="C403" s="4">
        <v>78</v>
      </c>
      <c r="D403" s="8">
        <v>10.77</v>
      </c>
      <c r="E403" s="4">
        <v>70</v>
      </c>
      <c r="F403" s="8">
        <v>16.09</v>
      </c>
      <c r="G403" s="4">
        <v>8</v>
      </c>
      <c r="H403" s="8">
        <v>2.96</v>
      </c>
      <c r="I403" s="4">
        <v>0</v>
      </c>
    </row>
    <row r="404" spans="1:9" x14ac:dyDescent="0.2">
      <c r="A404" s="2">
        <v>2</v>
      </c>
      <c r="B404" s="1" t="s">
        <v>89</v>
      </c>
      <c r="C404" s="4">
        <v>76</v>
      </c>
      <c r="D404" s="8">
        <v>10.5</v>
      </c>
      <c r="E404" s="4">
        <v>70</v>
      </c>
      <c r="F404" s="8">
        <v>16.09</v>
      </c>
      <c r="G404" s="4">
        <v>6</v>
      </c>
      <c r="H404" s="8">
        <v>2.2200000000000002</v>
      </c>
      <c r="I404" s="4">
        <v>0</v>
      </c>
    </row>
    <row r="405" spans="1:9" x14ac:dyDescent="0.2">
      <c r="A405" s="2">
        <v>3</v>
      </c>
      <c r="B405" s="1" t="s">
        <v>85</v>
      </c>
      <c r="C405" s="4">
        <v>74</v>
      </c>
      <c r="D405" s="8">
        <v>10.220000000000001</v>
      </c>
      <c r="E405" s="4">
        <v>53</v>
      </c>
      <c r="F405" s="8">
        <v>12.18</v>
      </c>
      <c r="G405" s="4">
        <v>20</v>
      </c>
      <c r="H405" s="8">
        <v>7.41</v>
      </c>
      <c r="I405" s="4">
        <v>0</v>
      </c>
    </row>
    <row r="406" spans="1:9" x14ac:dyDescent="0.2">
      <c r="A406" s="2">
        <v>4</v>
      </c>
      <c r="B406" s="1" t="s">
        <v>83</v>
      </c>
      <c r="C406" s="4">
        <v>53</v>
      </c>
      <c r="D406" s="8">
        <v>7.32</v>
      </c>
      <c r="E406" s="4">
        <v>28</v>
      </c>
      <c r="F406" s="8">
        <v>6.44</v>
      </c>
      <c r="G406" s="4">
        <v>25</v>
      </c>
      <c r="H406" s="8">
        <v>9.26</v>
      </c>
      <c r="I406" s="4">
        <v>0</v>
      </c>
    </row>
    <row r="407" spans="1:9" x14ac:dyDescent="0.2">
      <c r="A407" s="2">
        <v>5</v>
      </c>
      <c r="B407" s="1" t="s">
        <v>91</v>
      </c>
      <c r="C407" s="4">
        <v>46</v>
      </c>
      <c r="D407" s="8">
        <v>6.35</v>
      </c>
      <c r="E407" s="4">
        <v>32</v>
      </c>
      <c r="F407" s="8">
        <v>7.36</v>
      </c>
      <c r="G407" s="4">
        <v>6</v>
      </c>
      <c r="H407" s="8">
        <v>2.2200000000000002</v>
      </c>
      <c r="I407" s="4">
        <v>0</v>
      </c>
    </row>
    <row r="408" spans="1:9" x14ac:dyDescent="0.2">
      <c r="A408" s="2">
        <v>6</v>
      </c>
      <c r="B408" s="1" t="s">
        <v>74</v>
      </c>
      <c r="C408" s="4">
        <v>41</v>
      </c>
      <c r="D408" s="8">
        <v>5.66</v>
      </c>
      <c r="E408" s="4">
        <v>15</v>
      </c>
      <c r="F408" s="8">
        <v>3.45</v>
      </c>
      <c r="G408" s="4">
        <v>26</v>
      </c>
      <c r="H408" s="8">
        <v>9.6300000000000008</v>
      </c>
      <c r="I408" s="4">
        <v>0</v>
      </c>
    </row>
    <row r="409" spans="1:9" x14ac:dyDescent="0.2">
      <c r="A409" s="2">
        <v>6</v>
      </c>
      <c r="B409" s="1" t="s">
        <v>76</v>
      </c>
      <c r="C409" s="4">
        <v>41</v>
      </c>
      <c r="D409" s="8">
        <v>5.66</v>
      </c>
      <c r="E409" s="4">
        <v>14</v>
      </c>
      <c r="F409" s="8">
        <v>3.22</v>
      </c>
      <c r="G409" s="4">
        <v>27</v>
      </c>
      <c r="H409" s="8">
        <v>10</v>
      </c>
      <c r="I409" s="4">
        <v>0</v>
      </c>
    </row>
    <row r="410" spans="1:9" x14ac:dyDescent="0.2">
      <c r="A410" s="2">
        <v>8</v>
      </c>
      <c r="B410" s="1" t="s">
        <v>81</v>
      </c>
      <c r="C410" s="4">
        <v>37</v>
      </c>
      <c r="D410" s="8">
        <v>5.1100000000000003</v>
      </c>
      <c r="E410" s="4">
        <v>30</v>
      </c>
      <c r="F410" s="8">
        <v>6.9</v>
      </c>
      <c r="G410" s="4">
        <v>7</v>
      </c>
      <c r="H410" s="8">
        <v>2.59</v>
      </c>
      <c r="I410" s="4">
        <v>0</v>
      </c>
    </row>
    <row r="411" spans="1:9" x14ac:dyDescent="0.2">
      <c r="A411" s="2">
        <v>9</v>
      </c>
      <c r="B411" s="1" t="s">
        <v>75</v>
      </c>
      <c r="C411" s="4">
        <v>26</v>
      </c>
      <c r="D411" s="8">
        <v>3.59</v>
      </c>
      <c r="E411" s="4">
        <v>12</v>
      </c>
      <c r="F411" s="8">
        <v>2.76</v>
      </c>
      <c r="G411" s="4">
        <v>14</v>
      </c>
      <c r="H411" s="8">
        <v>5.19</v>
      </c>
      <c r="I411" s="4">
        <v>0</v>
      </c>
    </row>
    <row r="412" spans="1:9" x14ac:dyDescent="0.2">
      <c r="A412" s="2">
        <v>10</v>
      </c>
      <c r="B412" s="1" t="s">
        <v>92</v>
      </c>
      <c r="C412" s="4">
        <v>22</v>
      </c>
      <c r="D412" s="8">
        <v>3.04</v>
      </c>
      <c r="E412" s="4">
        <v>22</v>
      </c>
      <c r="F412" s="8">
        <v>5.0599999999999996</v>
      </c>
      <c r="G412" s="4">
        <v>0</v>
      </c>
      <c r="H412" s="8">
        <v>0</v>
      </c>
      <c r="I412" s="4">
        <v>0</v>
      </c>
    </row>
    <row r="413" spans="1:9" x14ac:dyDescent="0.2">
      <c r="A413" s="2">
        <v>11</v>
      </c>
      <c r="B413" s="1" t="s">
        <v>87</v>
      </c>
      <c r="C413" s="4">
        <v>18</v>
      </c>
      <c r="D413" s="8">
        <v>2.4900000000000002</v>
      </c>
      <c r="E413" s="4">
        <v>6</v>
      </c>
      <c r="F413" s="8">
        <v>1.38</v>
      </c>
      <c r="G413" s="4">
        <v>12</v>
      </c>
      <c r="H413" s="8">
        <v>4.4400000000000004</v>
      </c>
      <c r="I413" s="4">
        <v>0</v>
      </c>
    </row>
    <row r="414" spans="1:9" x14ac:dyDescent="0.2">
      <c r="A414" s="2">
        <v>12</v>
      </c>
      <c r="B414" s="1" t="s">
        <v>80</v>
      </c>
      <c r="C414" s="4">
        <v>15</v>
      </c>
      <c r="D414" s="8">
        <v>2.0699999999999998</v>
      </c>
      <c r="E414" s="4">
        <v>12</v>
      </c>
      <c r="F414" s="8">
        <v>2.76</v>
      </c>
      <c r="G414" s="4">
        <v>3</v>
      </c>
      <c r="H414" s="8">
        <v>1.1100000000000001</v>
      </c>
      <c r="I414" s="4">
        <v>0</v>
      </c>
    </row>
    <row r="415" spans="1:9" x14ac:dyDescent="0.2">
      <c r="A415" s="2">
        <v>12</v>
      </c>
      <c r="B415" s="1" t="s">
        <v>82</v>
      </c>
      <c r="C415" s="4">
        <v>15</v>
      </c>
      <c r="D415" s="8">
        <v>2.0699999999999998</v>
      </c>
      <c r="E415" s="4">
        <v>8</v>
      </c>
      <c r="F415" s="8">
        <v>1.84</v>
      </c>
      <c r="G415" s="4">
        <v>7</v>
      </c>
      <c r="H415" s="8">
        <v>2.59</v>
      </c>
      <c r="I415" s="4">
        <v>0</v>
      </c>
    </row>
    <row r="416" spans="1:9" x14ac:dyDescent="0.2">
      <c r="A416" s="2">
        <v>14</v>
      </c>
      <c r="B416" s="1" t="s">
        <v>93</v>
      </c>
      <c r="C416" s="4">
        <v>13</v>
      </c>
      <c r="D416" s="8">
        <v>1.8</v>
      </c>
      <c r="E416" s="4">
        <v>1</v>
      </c>
      <c r="F416" s="8">
        <v>0.23</v>
      </c>
      <c r="G416" s="4">
        <v>6</v>
      </c>
      <c r="H416" s="8">
        <v>2.2200000000000002</v>
      </c>
      <c r="I416" s="4">
        <v>0</v>
      </c>
    </row>
    <row r="417" spans="1:9" x14ac:dyDescent="0.2">
      <c r="A417" s="2">
        <v>15</v>
      </c>
      <c r="B417" s="1" t="s">
        <v>77</v>
      </c>
      <c r="C417" s="4">
        <v>12</v>
      </c>
      <c r="D417" s="8">
        <v>1.66</v>
      </c>
      <c r="E417" s="4">
        <v>1</v>
      </c>
      <c r="F417" s="8">
        <v>0.23</v>
      </c>
      <c r="G417" s="4">
        <v>11</v>
      </c>
      <c r="H417" s="8">
        <v>4.07</v>
      </c>
      <c r="I417" s="4">
        <v>0</v>
      </c>
    </row>
    <row r="418" spans="1:9" x14ac:dyDescent="0.2">
      <c r="A418" s="2">
        <v>16</v>
      </c>
      <c r="B418" s="1" t="s">
        <v>86</v>
      </c>
      <c r="C418" s="4">
        <v>11</v>
      </c>
      <c r="D418" s="8">
        <v>1.52</v>
      </c>
      <c r="E418" s="4">
        <v>9</v>
      </c>
      <c r="F418" s="8">
        <v>2.0699999999999998</v>
      </c>
      <c r="G418" s="4">
        <v>2</v>
      </c>
      <c r="H418" s="8">
        <v>0.74</v>
      </c>
      <c r="I418" s="4">
        <v>0</v>
      </c>
    </row>
    <row r="419" spans="1:9" x14ac:dyDescent="0.2">
      <c r="A419" s="2">
        <v>17</v>
      </c>
      <c r="B419" s="1" t="s">
        <v>109</v>
      </c>
      <c r="C419" s="4">
        <v>10</v>
      </c>
      <c r="D419" s="8">
        <v>1.38</v>
      </c>
      <c r="E419" s="4">
        <v>0</v>
      </c>
      <c r="F419" s="8">
        <v>0</v>
      </c>
      <c r="G419" s="4">
        <v>10</v>
      </c>
      <c r="H419" s="8">
        <v>3.7</v>
      </c>
      <c r="I419" s="4">
        <v>0</v>
      </c>
    </row>
    <row r="420" spans="1:9" x14ac:dyDescent="0.2">
      <c r="A420" s="2">
        <v>17</v>
      </c>
      <c r="B420" s="1" t="s">
        <v>104</v>
      </c>
      <c r="C420" s="4">
        <v>10</v>
      </c>
      <c r="D420" s="8">
        <v>1.38</v>
      </c>
      <c r="E420" s="4">
        <v>10</v>
      </c>
      <c r="F420" s="8">
        <v>2.2999999999999998</v>
      </c>
      <c r="G420" s="4">
        <v>0</v>
      </c>
      <c r="H420" s="8">
        <v>0</v>
      </c>
      <c r="I420" s="4">
        <v>0</v>
      </c>
    </row>
    <row r="421" spans="1:9" x14ac:dyDescent="0.2">
      <c r="A421" s="2">
        <v>19</v>
      </c>
      <c r="B421" s="1" t="s">
        <v>90</v>
      </c>
      <c r="C421" s="4">
        <v>9</v>
      </c>
      <c r="D421" s="8">
        <v>1.24</v>
      </c>
      <c r="E421" s="4">
        <v>5</v>
      </c>
      <c r="F421" s="8">
        <v>1.1499999999999999</v>
      </c>
      <c r="G421" s="4">
        <v>4</v>
      </c>
      <c r="H421" s="8">
        <v>1.48</v>
      </c>
      <c r="I421" s="4">
        <v>0</v>
      </c>
    </row>
    <row r="422" spans="1:9" x14ac:dyDescent="0.2">
      <c r="A422" s="2">
        <v>20</v>
      </c>
      <c r="B422" s="1" t="s">
        <v>108</v>
      </c>
      <c r="C422" s="4">
        <v>8</v>
      </c>
      <c r="D422" s="8">
        <v>1.1000000000000001</v>
      </c>
      <c r="E422" s="4">
        <v>3</v>
      </c>
      <c r="F422" s="8">
        <v>0.69</v>
      </c>
      <c r="G422" s="4">
        <v>5</v>
      </c>
      <c r="H422" s="8">
        <v>1.85</v>
      </c>
      <c r="I422" s="4">
        <v>0</v>
      </c>
    </row>
    <row r="423" spans="1:9" x14ac:dyDescent="0.2">
      <c r="A423" s="2">
        <v>20</v>
      </c>
      <c r="B423" s="1" t="s">
        <v>97</v>
      </c>
      <c r="C423" s="4">
        <v>8</v>
      </c>
      <c r="D423" s="8">
        <v>1.1000000000000001</v>
      </c>
      <c r="E423" s="4">
        <v>3</v>
      </c>
      <c r="F423" s="8">
        <v>0.69</v>
      </c>
      <c r="G423" s="4">
        <v>5</v>
      </c>
      <c r="H423" s="8">
        <v>1.85</v>
      </c>
      <c r="I423" s="4">
        <v>0</v>
      </c>
    </row>
    <row r="424" spans="1:9" x14ac:dyDescent="0.2">
      <c r="A424" s="2">
        <v>20</v>
      </c>
      <c r="B424" s="1" t="s">
        <v>107</v>
      </c>
      <c r="C424" s="4">
        <v>8</v>
      </c>
      <c r="D424" s="8">
        <v>1.1000000000000001</v>
      </c>
      <c r="E424" s="4">
        <v>5</v>
      </c>
      <c r="F424" s="8">
        <v>1.1499999999999999</v>
      </c>
      <c r="G424" s="4">
        <v>2</v>
      </c>
      <c r="H424" s="8">
        <v>0.74</v>
      </c>
      <c r="I424" s="4">
        <v>1</v>
      </c>
    </row>
    <row r="425" spans="1:9" x14ac:dyDescent="0.2">
      <c r="A425" s="1"/>
      <c r="C425" s="4"/>
      <c r="D425" s="8"/>
      <c r="E425" s="4"/>
      <c r="F425" s="8"/>
      <c r="G425" s="4"/>
      <c r="H425" s="8"/>
      <c r="I425" s="4"/>
    </row>
    <row r="426" spans="1:9" x14ac:dyDescent="0.2">
      <c r="A426" s="1" t="s">
        <v>19</v>
      </c>
      <c r="C426" s="4"/>
      <c r="D426" s="8"/>
      <c r="E426" s="4"/>
      <c r="F426" s="8"/>
      <c r="G426" s="4"/>
      <c r="H426" s="8"/>
      <c r="I426" s="4"/>
    </row>
    <row r="427" spans="1:9" x14ac:dyDescent="0.2">
      <c r="A427" s="2">
        <v>1</v>
      </c>
      <c r="B427" s="1" t="s">
        <v>88</v>
      </c>
      <c r="C427" s="4">
        <v>393</v>
      </c>
      <c r="D427" s="8">
        <v>13.54</v>
      </c>
      <c r="E427" s="4">
        <v>352</v>
      </c>
      <c r="F427" s="8">
        <v>18.22</v>
      </c>
      <c r="G427" s="4">
        <v>41</v>
      </c>
      <c r="H427" s="8">
        <v>4.51</v>
      </c>
      <c r="I427" s="4">
        <v>0</v>
      </c>
    </row>
    <row r="428" spans="1:9" x14ac:dyDescent="0.2">
      <c r="A428" s="2">
        <v>2</v>
      </c>
      <c r="B428" s="1" t="s">
        <v>83</v>
      </c>
      <c r="C428" s="4">
        <v>229</v>
      </c>
      <c r="D428" s="8">
        <v>7.89</v>
      </c>
      <c r="E428" s="4">
        <v>147</v>
      </c>
      <c r="F428" s="8">
        <v>7.61</v>
      </c>
      <c r="G428" s="4">
        <v>82</v>
      </c>
      <c r="H428" s="8">
        <v>9.01</v>
      </c>
      <c r="I428" s="4">
        <v>0</v>
      </c>
    </row>
    <row r="429" spans="1:9" x14ac:dyDescent="0.2">
      <c r="A429" s="2">
        <v>3</v>
      </c>
      <c r="B429" s="1" t="s">
        <v>89</v>
      </c>
      <c r="C429" s="4">
        <v>225</v>
      </c>
      <c r="D429" s="8">
        <v>7.75</v>
      </c>
      <c r="E429" s="4">
        <v>206</v>
      </c>
      <c r="F429" s="8">
        <v>10.66</v>
      </c>
      <c r="G429" s="4">
        <v>19</v>
      </c>
      <c r="H429" s="8">
        <v>2.09</v>
      </c>
      <c r="I429" s="4">
        <v>0</v>
      </c>
    </row>
    <row r="430" spans="1:9" x14ac:dyDescent="0.2">
      <c r="A430" s="2">
        <v>4</v>
      </c>
      <c r="B430" s="1" t="s">
        <v>74</v>
      </c>
      <c r="C430" s="4">
        <v>190</v>
      </c>
      <c r="D430" s="8">
        <v>6.55</v>
      </c>
      <c r="E430" s="4">
        <v>91</v>
      </c>
      <c r="F430" s="8">
        <v>4.71</v>
      </c>
      <c r="G430" s="4">
        <v>99</v>
      </c>
      <c r="H430" s="8">
        <v>10.88</v>
      </c>
      <c r="I430" s="4">
        <v>0</v>
      </c>
    </row>
    <row r="431" spans="1:9" x14ac:dyDescent="0.2">
      <c r="A431" s="2">
        <v>5</v>
      </c>
      <c r="B431" s="1" t="s">
        <v>81</v>
      </c>
      <c r="C431" s="4">
        <v>172</v>
      </c>
      <c r="D431" s="8">
        <v>5.93</v>
      </c>
      <c r="E431" s="4">
        <v>125</v>
      </c>
      <c r="F431" s="8">
        <v>6.47</v>
      </c>
      <c r="G431" s="4">
        <v>47</v>
      </c>
      <c r="H431" s="8">
        <v>5.16</v>
      </c>
      <c r="I431" s="4">
        <v>0</v>
      </c>
    </row>
    <row r="432" spans="1:9" x14ac:dyDescent="0.2">
      <c r="A432" s="2">
        <v>6</v>
      </c>
      <c r="B432" s="1" t="s">
        <v>85</v>
      </c>
      <c r="C432" s="4">
        <v>140</v>
      </c>
      <c r="D432" s="8">
        <v>4.82</v>
      </c>
      <c r="E432" s="4">
        <v>79</v>
      </c>
      <c r="F432" s="8">
        <v>4.09</v>
      </c>
      <c r="G432" s="4">
        <v>61</v>
      </c>
      <c r="H432" s="8">
        <v>6.7</v>
      </c>
      <c r="I432" s="4">
        <v>0</v>
      </c>
    </row>
    <row r="433" spans="1:9" x14ac:dyDescent="0.2">
      <c r="A433" s="2">
        <v>7</v>
      </c>
      <c r="B433" s="1" t="s">
        <v>105</v>
      </c>
      <c r="C433" s="4">
        <v>126</v>
      </c>
      <c r="D433" s="8">
        <v>4.34</v>
      </c>
      <c r="E433" s="4">
        <v>111</v>
      </c>
      <c r="F433" s="8">
        <v>5.75</v>
      </c>
      <c r="G433" s="4">
        <v>15</v>
      </c>
      <c r="H433" s="8">
        <v>1.65</v>
      </c>
      <c r="I433" s="4">
        <v>0</v>
      </c>
    </row>
    <row r="434" spans="1:9" x14ac:dyDescent="0.2">
      <c r="A434" s="2">
        <v>8</v>
      </c>
      <c r="B434" s="1" t="s">
        <v>91</v>
      </c>
      <c r="C434" s="4">
        <v>122</v>
      </c>
      <c r="D434" s="8">
        <v>4.2</v>
      </c>
      <c r="E434" s="4">
        <v>63</v>
      </c>
      <c r="F434" s="8">
        <v>3.26</v>
      </c>
      <c r="G434" s="4">
        <v>20</v>
      </c>
      <c r="H434" s="8">
        <v>2.2000000000000002</v>
      </c>
      <c r="I434" s="4">
        <v>5</v>
      </c>
    </row>
    <row r="435" spans="1:9" x14ac:dyDescent="0.2">
      <c r="A435" s="2">
        <v>9</v>
      </c>
      <c r="B435" s="1" t="s">
        <v>75</v>
      </c>
      <c r="C435" s="4">
        <v>114</v>
      </c>
      <c r="D435" s="8">
        <v>3.93</v>
      </c>
      <c r="E435" s="4">
        <v>88</v>
      </c>
      <c r="F435" s="8">
        <v>4.55</v>
      </c>
      <c r="G435" s="4">
        <v>26</v>
      </c>
      <c r="H435" s="8">
        <v>2.86</v>
      </c>
      <c r="I435" s="4">
        <v>0</v>
      </c>
    </row>
    <row r="436" spans="1:9" x14ac:dyDescent="0.2">
      <c r="A436" s="2">
        <v>10</v>
      </c>
      <c r="B436" s="1" t="s">
        <v>80</v>
      </c>
      <c r="C436" s="4">
        <v>98</v>
      </c>
      <c r="D436" s="8">
        <v>3.38</v>
      </c>
      <c r="E436" s="4">
        <v>64</v>
      </c>
      <c r="F436" s="8">
        <v>3.31</v>
      </c>
      <c r="G436" s="4">
        <v>34</v>
      </c>
      <c r="H436" s="8">
        <v>3.74</v>
      </c>
      <c r="I436" s="4">
        <v>0</v>
      </c>
    </row>
    <row r="437" spans="1:9" x14ac:dyDescent="0.2">
      <c r="A437" s="2">
        <v>10</v>
      </c>
      <c r="B437" s="1" t="s">
        <v>82</v>
      </c>
      <c r="C437" s="4">
        <v>98</v>
      </c>
      <c r="D437" s="8">
        <v>3.38</v>
      </c>
      <c r="E437" s="4">
        <v>69</v>
      </c>
      <c r="F437" s="8">
        <v>3.57</v>
      </c>
      <c r="G437" s="4">
        <v>29</v>
      </c>
      <c r="H437" s="8">
        <v>3.19</v>
      </c>
      <c r="I437" s="4">
        <v>0</v>
      </c>
    </row>
    <row r="438" spans="1:9" x14ac:dyDescent="0.2">
      <c r="A438" s="2">
        <v>12</v>
      </c>
      <c r="B438" s="1" t="s">
        <v>76</v>
      </c>
      <c r="C438" s="4">
        <v>89</v>
      </c>
      <c r="D438" s="8">
        <v>3.07</v>
      </c>
      <c r="E438" s="4">
        <v>53</v>
      </c>
      <c r="F438" s="8">
        <v>2.74</v>
      </c>
      <c r="G438" s="4">
        <v>36</v>
      </c>
      <c r="H438" s="8">
        <v>3.96</v>
      </c>
      <c r="I438" s="4">
        <v>0</v>
      </c>
    </row>
    <row r="439" spans="1:9" x14ac:dyDescent="0.2">
      <c r="A439" s="2">
        <v>12</v>
      </c>
      <c r="B439" s="1" t="s">
        <v>99</v>
      </c>
      <c r="C439" s="4">
        <v>89</v>
      </c>
      <c r="D439" s="8">
        <v>3.07</v>
      </c>
      <c r="E439" s="4">
        <v>64</v>
      </c>
      <c r="F439" s="8">
        <v>3.31</v>
      </c>
      <c r="G439" s="4">
        <v>25</v>
      </c>
      <c r="H439" s="8">
        <v>2.75</v>
      </c>
      <c r="I439" s="4">
        <v>0</v>
      </c>
    </row>
    <row r="440" spans="1:9" x14ac:dyDescent="0.2">
      <c r="A440" s="2">
        <v>14</v>
      </c>
      <c r="B440" s="1" t="s">
        <v>92</v>
      </c>
      <c r="C440" s="4">
        <v>65</v>
      </c>
      <c r="D440" s="8">
        <v>2.2400000000000002</v>
      </c>
      <c r="E440" s="4">
        <v>62</v>
      </c>
      <c r="F440" s="8">
        <v>3.21</v>
      </c>
      <c r="G440" s="4">
        <v>3</v>
      </c>
      <c r="H440" s="8">
        <v>0.33</v>
      </c>
      <c r="I440" s="4">
        <v>0</v>
      </c>
    </row>
    <row r="441" spans="1:9" x14ac:dyDescent="0.2">
      <c r="A441" s="2">
        <v>15</v>
      </c>
      <c r="B441" s="1" t="s">
        <v>86</v>
      </c>
      <c r="C441" s="4">
        <v>58</v>
      </c>
      <c r="D441" s="8">
        <v>2</v>
      </c>
      <c r="E441" s="4">
        <v>47</v>
      </c>
      <c r="F441" s="8">
        <v>2.4300000000000002</v>
      </c>
      <c r="G441" s="4">
        <v>11</v>
      </c>
      <c r="H441" s="8">
        <v>1.21</v>
      </c>
      <c r="I441" s="4">
        <v>0</v>
      </c>
    </row>
    <row r="442" spans="1:9" x14ac:dyDescent="0.2">
      <c r="A442" s="2">
        <v>16</v>
      </c>
      <c r="B442" s="1" t="s">
        <v>87</v>
      </c>
      <c r="C442" s="4">
        <v>54</v>
      </c>
      <c r="D442" s="8">
        <v>1.86</v>
      </c>
      <c r="E442" s="4">
        <v>28</v>
      </c>
      <c r="F442" s="8">
        <v>1.45</v>
      </c>
      <c r="G442" s="4">
        <v>25</v>
      </c>
      <c r="H442" s="8">
        <v>2.75</v>
      </c>
      <c r="I442" s="4">
        <v>0</v>
      </c>
    </row>
    <row r="443" spans="1:9" x14ac:dyDescent="0.2">
      <c r="A443" s="2">
        <v>17</v>
      </c>
      <c r="B443" s="1" t="s">
        <v>93</v>
      </c>
      <c r="C443" s="4">
        <v>43</v>
      </c>
      <c r="D443" s="8">
        <v>1.48</v>
      </c>
      <c r="E443" s="4">
        <v>1</v>
      </c>
      <c r="F443" s="8">
        <v>0.05</v>
      </c>
      <c r="G443" s="4">
        <v>32</v>
      </c>
      <c r="H443" s="8">
        <v>3.52</v>
      </c>
      <c r="I443" s="4">
        <v>0</v>
      </c>
    </row>
    <row r="444" spans="1:9" x14ac:dyDescent="0.2">
      <c r="A444" s="2">
        <v>18</v>
      </c>
      <c r="B444" s="1" t="s">
        <v>110</v>
      </c>
      <c r="C444" s="4">
        <v>37</v>
      </c>
      <c r="D444" s="8">
        <v>1.27</v>
      </c>
      <c r="E444" s="4">
        <v>32</v>
      </c>
      <c r="F444" s="8">
        <v>1.66</v>
      </c>
      <c r="G444" s="4">
        <v>5</v>
      </c>
      <c r="H444" s="8">
        <v>0.55000000000000004</v>
      </c>
      <c r="I444" s="4">
        <v>0</v>
      </c>
    </row>
    <row r="445" spans="1:9" x14ac:dyDescent="0.2">
      <c r="A445" s="2">
        <v>19</v>
      </c>
      <c r="B445" s="1" t="s">
        <v>107</v>
      </c>
      <c r="C445" s="4">
        <v>28</v>
      </c>
      <c r="D445" s="8">
        <v>0.96</v>
      </c>
      <c r="E445" s="4">
        <v>13</v>
      </c>
      <c r="F445" s="8">
        <v>0.67</v>
      </c>
      <c r="G445" s="4">
        <v>13</v>
      </c>
      <c r="H445" s="8">
        <v>1.43</v>
      </c>
      <c r="I445" s="4">
        <v>1</v>
      </c>
    </row>
    <row r="446" spans="1:9" x14ac:dyDescent="0.2">
      <c r="A446" s="2">
        <v>20</v>
      </c>
      <c r="B446" s="1" t="s">
        <v>97</v>
      </c>
      <c r="C446" s="4">
        <v>27</v>
      </c>
      <c r="D446" s="8">
        <v>0.93</v>
      </c>
      <c r="E446" s="4">
        <v>8</v>
      </c>
      <c r="F446" s="8">
        <v>0.41</v>
      </c>
      <c r="G446" s="4">
        <v>19</v>
      </c>
      <c r="H446" s="8">
        <v>2.09</v>
      </c>
      <c r="I446" s="4">
        <v>0</v>
      </c>
    </row>
    <row r="447" spans="1:9" x14ac:dyDescent="0.2">
      <c r="A447" s="2">
        <v>20</v>
      </c>
      <c r="B447" s="1" t="s">
        <v>79</v>
      </c>
      <c r="C447" s="4">
        <v>27</v>
      </c>
      <c r="D447" s="8">
        <v>0.93</v>
      </c>
      <c r="E447" s="4">
        <v>10</v>
      </c>
      <c r="F447" s="8">
        <v>0.52</v>
      </c>
      <c r="G447" s="4">
        <v>17</v>
      </c>
      <c r="H447" s="8">
        <v>1.87</v>
      </c>
      <c r="I447" s="4">
        <v>0</v>
      </c>
    </row>
    <row r="448" spans="1:9" x14ac:dyDescent="0.2">
      <c r="A448" s="1"/>
      <c r="C448" s="4"/>
      <c r="D448" s="8"/>
      <c r="E448" s="4"/>
      <c r="F448" s="8"/>
      <c r="G448" s="4"/>
      <c r="H448" s="8"/>
      <c r="I448" s="4"/>
    </row>
    <row r="449" spans="1:9" x14ac:dyDescent="0.2">
      <c r="A449" s="1" t="s">
        <v>20</v>
      </c>
      <c r="C449" s="4"/>
      <c r="D449" s="8"/>
      <c r="E449" s="4"/>
      <c r="F449" s="8"/>
      <c r="G449" s="4"/>
      <c r="H449" s="8"/>
      <c r="I449" s="4"/>
    </row>
    <row r="450" spans="1:9" x14ac:dyDescent="0.2">
      <c r="A450" s="2">
        <v>1</v>
      </c>
      <c r="B450" s="1" t="s">
        <v>88</v>
      </c>
      <c r="C450" s="4">
        <v>547</v>
      </c>
      <c r="D450" s="8">
        <v>11.88</v>
      </c>
      <c r="E450" s="4">
        <v>502</v>
      </c>
      <c r="F450" s="8">
        <v>19.829999999999998</v>
      </c>
      <c r="G450" s="4">
        <v>45</v>
      </c>
      <c r="H450" s="8">
        <v>2.21</v>
      </c>
      <c r="I450" s="4">
        <v>0</v>
      </c>
    </row>
    <row r="451" spans="1:9" x14ac:dyDescent="0.2">
      <c r="A451" s="2">
        <v>2</v>
      </c>
      <c r="B451" s="1" t="s">
        <v>89</v>
      </c>
      <c r="C451" s="4">
        <v>532</v>
      </c>
      <c r="D451" s="8">
        <v>11.56</v>
      </c>
      <c r="E451" s="4">
        <v>447</v>
      </c>
      <c r="F451" s="8">
        <v>17.66</v>
      </c>
      <c r="G451" s="4">
        <v>85</v>
      </c>
      <c r="H451" s="8">
        <v>4.18</v>
      </c>
      <c r="I451" s="4">
        <v>0</v>
      </c>
    </row>
    <row r="452" spans="1:9" x14ac:dyDescent="0.2">
      <c r="A452" s="2">
        <v>3</v>
      </c>
      <c r="B452" s="1" t="s">
        <v>85</v>
      </c>
      <c r="C452" s="4">
        <v>348</v>
      </c>
      <c r="D452" s="8">
        <v>7.56</v>
      </c>
      <c r="E452" s="4">
        <v>186</v>
      </c>
      <c r="F452" s="8">
        <v>7.35</v>
      </c>
      <c r="G452" s="4">
        <v>162</v>
      </c>
      <c r="H452" s="8">
        <v>7.96</v>
      </c>
      <c r="I452" s="4">
        <v>0</v>
      </c>
    </row>
    <row r="453" spans="1:9" x14ac:dyDescent="0.2">
      <c r="A453" s="2">
        <v>4</v>
      </c>
      <c r="B453" s="1" t="s">
        <v>74</v>
      </c>
      <c r="C453" s="4">
        <v>300</v>
      </c>
      <c r="D453" s="8">
        <v>6.52</v>
      </c>
      <c r="E453" s="4">
        <v>77</v>
      </c>
      <c r="F453" s="8">
        <v>3.04</v>
      </c>
      <c r="G453" s="4">
        <v>223</v>
      </c>
      <c r="H453" s="8">
        <v>10.96</v>
      </c>
      <c r="I453" s="4">
        <v>0</v>
      </c>
    </row>
    <row r="454" spans="1:9" x14ac:dyDescent="0.2">
      <c r="A454" s="2">
        <v>5</v>
      </c>
      <c r="B454" s="1" t="s">
        <v>83</v>
      </c>
      <c r="C454" s="4">
        <v>276</v>
      </c>
      <c r="D454" s="8">
        <v>5.99</v>
      </c>
      <c r="E454" s="4">
        <v>116</v>
      </c>
      <c r="F454" s="8">
        <v>4.58</v>
      </c>
      <c r="G454" s="4">
        <v>160</v>
      </c>
      <c r="H454" s="8">
        <v>7.87</v>
      </c>
      <c r="I454" s="4">
        <v>0</v>
      </c>
    </row>
    <row r="455" spans="1:9" x14ac:dyDescent="0.2">
      <c r="A455" s="2">
        <v>6</v>
      </c>
      <c r="B455" s="1" t="s">
        <v>91</v>
      </c>
      <c r="C455" s="4">
        <v>246</v>
      </c>
      <c r="D455" s="8">
        <v>5.34</v>
      </c>
      <c r="E455" s="4">
        <v>182</v>
      </c>
      <c r="F455" s="8">
        <v>7.19</v>
      </c>
      <c r="G455" s="4">
        <v>52</v>
      </c>
      <c r="H455" s="8">
        <v>2.56</v>
      </c>
      <c r="I455" s="4">
        <v>1</v>
      </c>
    </row>
    <row r="456" spans="1:9" x14ac:dyDescent="0.2">
      <c r="A456" s="2">
        <v>7</v>
      </c>
      <c r="B456" s="1" t="s">
        <v>76</v>
      </c>
      <c r="C456" s="4">
        <v>201</v>
      </c>
      <c r="D456" s="8">
        <v>4.37</v>
      </c>
      <c r="E456" s="4">
        <v>51</v>
      </c>
      <c r="F456" s="8">
        <v>2.02</v>
      </c>
      <c r="G456" s="4">
        <v>150</v>
      </c>
      <c r="H456" s="8">
        <v>7.37</v>
      </c>
      <c r="I456" s="4">
        <v>0</v>
      </c>
    </row>
    <row r="457" spans="1:9" x14ac:dyDescent="0.2">
      <c r="A457" s="2">
        <v>8</v>
      </c>
      <c r="B457" s="1" t="s">
        <v>81</v>
      </c>
      <c r="C457" s="4">
        <v>163</v>
      </c>
      <c r="D457" s="8">
        <v>3.54</v>
      </c>
      <c r="E457" s="4">
        <v>117</v>
      </c>
      <c r="F457" s="8">
        <v>4.62</v>
      </c>
      <c r="G457" s="4">
        <v>46</v>
      </c>
      <c r="H457" s="8">
        <v>2.2599999999999998</v>
      </c>
      <c r="I457" s="4">
        <v>0</v>
      </c>
    </row>
    <row r="458" spans="1:9" x14ac:dyDescent="0.2">
      <c r="A458" s="2">
        <v>8</v>
      </c>
      <c r="B458" s="1" t="s">
        <v>92</v>
      </c>
      <c r="C458" s="4">
        <v>163</v>
      </c>
      <c r="D458" s="8">
        <v>3.54</v>
      </c>
      <c r="E458" s="4">
        <v>145</v>
      </c>
      <c r="F458" s="8">
        <v>5.73</v>
      </c>
      <c r="G458" s="4">
        <v>18</v>
      </c>
      <c r="H458" s="8">
        <v>0.88</v>
      </c>
      <c r="I458" s="4">
        <v>0</v>
      </c>
    </row>
    <row r="459" spans="1:9" x14ac:dyDescent="0.2">
      <c r="A459" s="2">
        <v>10</v>
      </c>
      <c r="B459" s="1" t="s">
        <v>75</v>
      </c>
      <c r="C459" s="4">
        <v>162</v>
      </c>
      <c r="D459" s="8">
        <v>3.52</v>
      </c>
      <c r="E459" s="4">
        <v>61</v>
      </c>
      <c r="F459" s="8">
        <v>2.41</v>
      </c>
      <c r="G459" s="4">
        <v>101</v>
      </c>
      <c r="H459" s="8">
        <v>4.97</v>
      </c>
      <c r="I459" s="4">
        <v>0</v>
      </c>
    </row>
    <row r="460" spans="1:9" x14ac:dyDescent="0.2">
      <c r="A460" s="2">
        <v>11</v>
      </c>
      <c r="B460" s="1" t="s">
        <v>82</v>
      </c>
      <c r="C460" s="4">
        <v>150</v>
      </c>
      <c r="D460" s="8">
        <v>3.26</v>
      </c>
      <c r="E460" s="4">
        <v>105</v>
      </c>
      <c r="F460" s="8">
        <v>4.1500000000000004</v>
      </c>
      <c r="G460" s="4">
        <v>45</v>
      </c>
      <c r="H460" s="8">
        <v>2.21</v>
      </c>
      <c r="I460" s="4">
        <v>0</v>
      </c>
    </row>
    <row r="461" spans="1:9" x14ac:dyDescent="0.2">
      <c r="A461" s="2">
        <v>12</v>
      </c>
      <c r="B461" s="1" t="s">
        <v>86</v>
      </c>
      <c r="C461" s="4">
        <v>131</v>
      </c>
      <c r="D461" s="8">
        <v>2.85</v>
      </c>
      <c r="E461" s="4">
        <v>100</v>
      </c>
      <c r="F461" s="8">
        <v>3.95</v>
      </c>
      <c r="G461" s="4">
        <v>31</v>
      </c>
      <c r="H461" s="8">
        <v>1.52</v>
      </c>
      <c r="I461" s="4">
        <v>0</v>
      </c>
    </row>
    <row r="462" spans="1:9" x14ac:dyDescent="0.2">
      <c r="A462" s="2">
        <v>13</v>
      </c>
      <c r="B462" s="1" t="s">
        <v>84</v>
      </c>
      <c r="C462" s="4">
        <v>102</v>
      </c>
      <c r="D462" s="8">
        <v>2.2200000000000002</v>
      </c>
      <c r="E462" s="4">
        <v>20</v>
      </c>
      <c r="F462" s="8">
        <v>0.79</v>
      </c>
      <c r="G462" s="4">
        <v>82</v>
      </c>
      <c r="H462" s="8">
        <v>4.03</v>
      </c>
      <c r="I462" s="4">
        <v>0</v>
      </c>
    </row>
    <row r="463" spans="1:9" x14ac:dyDescent="0.2">
      <c r="A463" s="2">
        <v>14</v>
      </c>
      <c r="B463" s="1" t="s">
        <v>80</v>
      </c>
      <c r="C463" s="4">
        <v>101</v>
      </c>
      <c r="D463" s="8">
        <v>2.19</v>
      </c>
      <c r="E463" s="4">
        <v>55</v>
      </c>
      <c r="F463" s="8">
        <v>2.17</v>
      </c>
      <c r="G463" s="4">
        <v>46</v>
      </c>
      <c r="H463" s="8">
        <v>2.2599999999999998</v>
      </c>
      <c r="I463" s="4">
        <v>0</v>
      </c>
    </row>
    <row r="464" spans="1:9" x14ac:dyDescent="0.2">
      <c r="A464" s="2">
        <v>15</v>
      </c>
      <c r="B464" s="1" t="s">
        <v>90</v>
      </c>
      <c r="C464" s="4">
        <v>76</v>
      </c>
      <c r="D464" s="8">
        <v>1.65</v>
      </c>
      <c r="E464" s="4">
        <v>41</v>
      </c>
      <c r="F464" s="8">
        <v>1.62</v>
      </c>
      <c r="G464" s="4">
        <v>34</v>
      </c>
      <c r="H464" s="8">
        <v>1.67</v>
      </c>
      <c r="I464" s="4">
        <v>1</v>
      </c>
    </row>
    <row r="465" spans="1:9" x14ac:dyDescent="0.2">
      <c r="A465" s="2">
        <v>16</v>
      </c>
      <c r="B465" s="1" t="s">
        <v>87</v>
      </c>
      <c r="C465" s="4">
        <v>75</v>
      </c>
      <c r="D465" s="8">
        <v>1.63</v>
      </c>
      <c r="E465" s="4">
        <v>30</v>
      </c>
      <c r="F465" s="8">
        <v>1.19</v>
      </c>
      <c r="G465" s="4">
        <v>45</v>
      </c>
      <c r="H465" s="8">
        <v>2.21</v>
      </c>
      <c r="I465" s="4">
        <v>0</v>
      </c>
    </row>
    <row r="466" spans="1:9" x14ac:dyDescent="0.2">
      <c r="A466" s="2">
        <v>17</v>
      </c>
      <c r="B466" s="1" t="s">
        <v>93</v>
      </c>
      <c r="C466" s="4">
        <v>65</v>
      </c>
      <c r="D466" s="8">
        <v>1.41</v>
      </c>
      <c r="E466" s="4">
        <v>0</v>
      </c>
      <c r="F466" s="8">
        <v>0</v>
      </c>
      <c r="G466" s="4">
        <v>54</v>
      </c>
      <c r="H466" s="8">
        <v>2.65</v>
      </c>
      <c r="I466" s="4">
        <v>0</v>
      </c>
    </row>
    <row r="467" spans="1:9" x14ac:dyDescent="0.2">
      <c r="A467" s="2">
        <v>18</v>
      </c>
      <c r="B467" s="1" t="s">
        <v>77</v>
      </c>
      <c r="C467" s="4">
        <v>63</v>
      </c>
      <c r="D467" s="8">
        <v>1.37</v>
      </c>
      <c r="E467" s="4">
        <v>27</v>
      </c>
      <c r="F467" s="8">
        <v>1.07</v>
      </c>
      <c r="G467" s="4">
        <v>36</v>
      </c>
      <c r="H467" s="8">
        <v>1.77</v>
      </c>
      <c r="I467" s="4">
        <v>0</v>
      </c>
    </row>
    <row r="468" spans="1:9" x14ac:dyDescent="0.2">
      <c r="A468" s="2">
        <v>19</v>
      </c>
      <c r="B468" s="1" t="s">
        <v>97</v>
      </c>
      <c r="C468" s="4">
        <v>61</v>
      </c>
      <c r="D468" s="8">
        <v>1.32</v>
      </c>
      <c r="E468" s="4">
        <v>10</v>
      </c>
      <c r="F468" s="8">
        <v>0.4</v>
      </c>
      <c r="G468" s="4">
        <v>51</v>
      </c>
      <c r="H468" s="8">
        <v>2.5099999999999998</v>
      </c>
      <c r="I468" s="4">
        <v>0</v>
      </c>
    </row>
    <row r="469" spans="1:9" x14ac:dyDescent="0.2">
      <c r="A469" s="2">
        <v>20</v>
      </c>
      <c r="B469" s="1" t="s">
        <v>78</v>
      </c>
      <c r="C469" s="4">
        <v>60</v>
      </c>
      <c r="D469" s="8">
        <v>1.3</v>
      </c>
      <c r="E469" s="4">
        <v>10</v>
      </c>
      <c r="F469" s="8">
        <v>0.4</v>
      </c>
      <c r="G469" s="4">
        <v>50</v>
      </c>
      <c r="H469" s="8">
        <v>2.46</v>
      </c>
      <c r="I469" s="4">
        <v>0</v>
      </c>
    </row>
    <row r="470" spans="1:9" x14ac:dyDescent="0.2">
      <c r="A470" s="1"/>
      <c r="C470" s="4"/>
      <c r="D470" s="8"/>
      <c r="E470" s="4"/>
      <c r="F470" s="8"/>
      <c r="G470" s="4"/>
      <c r="H470" s="8"/>
      <c r="I470" s="4"/>
    </row>
    <row r="471" spans="1:9" x14ac:dyDescent="0.2">
      <c r="A471" s="1" t="s">
        <v>21</v>
      </c>
      <c r="C471" s="4"/>
      <c r="D471" s="8"/>
      <c r="E471" s="4"/>
      <c r="F471" s="8"/>
      <c r="G471" s="4"/>
      <c r="H471" s="8"/>
      <c r="I471" s="4"/>
    </row>
    <row r="472" spans="1:9" x14ac:dyDescent="0.2">
      <c r="A472" s="2">
        <v>1</v>
      </c>
      <c r="B472" s="1" t="s">
        <v>88</v>
      </c>
      <c r="C472" s="4">
        <v>131</v>
      </c>
      <c r="D472" s="8">
        <v>13.25</v>
      </c>
      <c r="E472" s="4">
        <v>117</v>
      </c>
      <c r="F472" s="8">
        <v>20.53</v>
      </c>
      <c r="G472" s="4">
        <v>14</v>
      </c>
      <c r="H472" s="8">
        <v>3.5</v>
      </c>
      <c r="I472" s="4">
        <v>0</v>
      </c>
    </row>
    <row r="473" spans="1:9" x14ac:dyDescent="0.2">
      <c r="A473" s="2">
        <v>2</v>
      </c>
      <c r="B473" s="1" t="s">
        <v>89</v>
      </c>
      <c r="C473" s="4">
        <v>110</v>
      </c>
      <c r="D473" s="8">
        <v>11.12</v>
      </c>
      <c r="E473" s="4">
        <v>97</v>
      </c>
      <c r="F473" s="8">
        <v>17.02</v>
      </c>
      <c r="G473" s="4">
        <v>13</v>
      </c>
      <c r="H473" s="8">
        <v>3.25</v>
      </c>
      <c r="I473" s="4">
        <v>0</v>
      </c>
    </row>
    <row r="474" spans="1:9" x14ac:dyDescent="0.2">
      <c r="A474" s="2">
        <v>3</v>
      </c>
      <c r="B474" s="1" t="s">
        <v>83</v>
      </c>
      <c r="C474" s="4">
        <v>92</v>
      </c>
      <c r="D474" s="8">
        <v>9.3000000000000007</v>
      </c>
      <c r="E474" s="4">
        <v>50</v>
      </c>
      <c r="F474" s="8">
        <v>8.77</v>
      </c>
      <c r="G474" s="4">
        <v>42</v>
      </c>
      <c r="H474" s="8">
        <v>10.5</v>
      </c>
      <c r="I474" s="4">
        <v>0</v>
      </c>
    </row>
    <row r="475" spans="1:9" x14ac:dyDescent="0.2">
      <c r="A475" s="2">
        <v>4</v>
      </c>
      <c r="B475" s="1" t="s">
        <v>74</v>
      </c>
      <c r="C475" s="4">
        <v>61</v>
      </c>
      <c r="D475" s="8">
        <v>6.17</v>
      </c>
      <c r="E475" s="4">
        <v>18</v>
      </c>
      <c r="F475" s="8">
        <v>3.16</v>
      </c>
      <c r="G475" s="4">
        <v>43</v>
      </c>
      <c r="H475" s="8">
        <v>10.75</v>
      </c>
      <c r="I475" s="4">
        <v>0</v>
      </c>
    </row>
    <row r="476" spans="1:9" x14ac:dyDescent="0.2">
      <c r="A476" s="2">
        <v>5</v>
      </c>
      <c r="B476" s="1" t="s">
        <v>85</v>
      </c>
      <c r="C476" s="4">
        <v>58</v>
      </c>
      <c r="D476" s="8">
        <v>5.86</v>
      </c>
      <c r="E476" s="4">
        <v>30</v>
      </c>
      <c r="F476" s="8">
        <v>5.26</v>
      </c>
      <c r="G476" s="4">
        <v>27</v>
      </c>
      <c r="H476" s="8">
        <v>6.75</v>
      </c>
      <c r="I476" s="4">
        <v>0</v>
      </c>
    </row>
    <row r="477" spans="1:9" x14ac:dyDescent="0.2">
      <c r="A477" s="2">
        <v>6</v>
      </c>
      <c r="B477" s="1" t="s">
        <v>91</v>
      </c>
      <c r="C477" s="4">
        <v>56</v>
      </c>
      <c r="D477" s="8">
        <v>5.66</v>
      </c>
      <c r="E477" s="4">
        <v>34</v>
      </c>
      <c r="F477" s="8">
        <v>5.96</v>
      </c>
      <c r="G477" s="4">
        <v>13</v>
      </c>
      <c r="H477" s="8">
        <v>3.25</v>
      </c>
      <c r="I477" s="4">
        <v>0</v>
      </c>
    </row>
    <row r="478" spans="1:9" x14ac:dyDescent="0.2">
      <c r="A478" s="2">
        <v>7</v>
      </c>
      <c r="B478" s="1" t="s">
        <v>81</v>
      </c>
      <c r="C478" s="4">
        <v>48</v>
      </c>
      <c r="D478" s="8">
        <v>4.8499999999999996</v>
      </c>
      <c r="E478" s="4">
        <v>39</v>
      </c>
      <c r="F478" s="8">
        <v>6.84</v>
      </c>
      <c r="G478" s="4">
        <v>9</v>
      </c>
      <c r="H478" s="8">
        <v>2.25</v>
      </c>
      <c r="I478" s="4">
        <v>0</v>
      </c>
    </row>
    <row r="479" spans="1:9" x14ac:dyDescent="0.2">
      <c r="A479" s="2">
        <v>8</v>
      </c>
      <c r="B479" s="1" t="s">
        <v>82</v>
      </c>
      <c r="C479" s="4">
        <v>42</v>
      </c>
      <c r="D479" s="8">
        <v>4.25</v>
      </c>
      <c r="E479" s="4">
        <v>25</v>
      </c>
      <c r="F479" s="8">
        <v>4.3899999999999997</v>
      </c>
      <c r="G479" s="4">
        <v>17</v>
      </c>
      <c r="H479" s="8">
        <v>4.25</v>
      </c>
      <c r="I479" s="4">
        <v>0</v>
      </c>
    </row>
    <row r="480" spans="1:9" x14ac:dyDescent="0.2">
      <c r="A480" s="2">
        <v>9</v>
      </c>
      <c r="B480" s="1" t="s">
        <v>75</v>
      </c>
      <c r="C480" s="4">
        <v>41</v>
      </c>
      <c r="D480" s="8">
        <v>4.1500000000000004</v>
      </c>
      <c r="E480" s="4">
        <v>16</v>
      </c>
      <c r="F480" s="8">
        <v>2.81</v>
      </c>
      <c r="G480" s="4">
        <v>25</v>
      </c>
      <c r="H480" s="8">
        <v>6.25</v>
      </c>
      <c r="I480" s="4">
        <v>0</v>
      </c>
    </row>
    <row r="481" spans="1:9" x14ac:dyDescent="0.2">
      <c r="A481" s="2">
        <v>10</v>
      </c>
      <c r="B481" s="1" t="s">
        <v>76</v>
      </c>
      <c r="C481" s="4">
        <v>38</v>
      </c>
      <c r="D481" s="8">
        <v>3.84</v>
      </c>
      <c r="E481" s="4">
        <v>9</v>
      </c>
      <c r="F481" s="8">
        <v>1.58</v>
      </c>
      <c r="G481" s="4">
        <v>29</v>
      </c>
      <c r="H481" s="8">
        <v>7.25</v>
      </c>
      <c r="I481" s="4">
        <v>0</v>
      </c>
    </row>
    <row r="482" spans="1:9" x14ac:dyDescent="0.2">
      <c r="A482" s="2">
        <v>11</v>
      </c>
      <c r="B482" s="1" t="s">
        <v>80</v>
      </c>
      <c r="C482" s="4">
        <v>35</v>
      </c>
      <c r="D482" s="8">
        <v>3.54</v>
      </c>
      <c r="E482" s="4">
        <v>16</v>
      </c>
      <c r="F482" s="8">
        <v>2.81</v>
      </c>
      <c r="G482" s="4">
        <v>19</v>
      </c>
      <c r="H482" s="8">
        <v>4.75</v>
      </c>
      <c r="I482" s="4">
        <v>0</v>
      </c>
    </row>
    <row r="483" spans="1:9" x14ac:dyDescent="0.2">
      <c r="A483" s="2">
        <v>12</v>
      </c>
      <c r="B483" s="1" t="s">
        <v>92</v>
      </c>
      <c r="C483" s="4">
        <v>30</v>
      </c>
      <c r="D483" s="8">
        <v>3.03</v>
      </c>
      <c r="E483" s="4">
        <v>25</v>
      </c>
      <c r="F483" s="8">
        <v>4.3899999999999997</v>
      </c>
      <c r="G483" s="4">
        <v>5</v>
      </c>
      <c r="H483" s="8">
        <v>1.25</v>
      </c>
      <c r="I483" s="4">
        <v>0</v>
      </c>
    </row>
    <row r="484" spans="1:9" x14ac:dyDescent="0.2">
      <c r="A484" s="2">
        <v>13</v>
      </c>
      <c r="B484" s="1" t="s">
        <v>93</v>
      </c>
      <c r="C484" s="4">
        <v>27</v>
      </c>
      <c r="D484" s="8">
        <v>2.73</v>
      </c>
      <c r="E484" s="4">
        <v>1</v>
      </c>
      <c r="F484" s="8">
        <v>0.18</v>
      </c>
      <c r="G484" s="4">
        <v>20</v>
      </c>
      <c r="H484" s="8">
        <v>5</v>
      </c>
      <c r="I484" s="4">
        <v>0</v>
      </c>
    </row>
    <row r="485" spans="1:9" x14ac:dyDescent="0.2">
      <c r="A485" s="2">
        <v>14</v>
      </c>
      <c r="B485" s="1" t="s">
        <v>87</v>
      </c>
      <c r="C485" s="4">
        <v>20</v>
      </c>
      <c r="D485" s="8">
        <v>2.02</v>
      </c>
      <c r="E485" s="4">
        <v>13</v>
      </c>
      <c r="F485" s="8">
        <v>2.2799999999999998</v>
      </c>
      <c r="G485" s="4">
        <v>7</v>
      </c>
      <c r="H485" s="8">
        <v>1.75</v>
      </c>
      <c r="I485" s="4">
        <v>0</v>
      </c>
    </row>
    <row r="486" spans="1:9" x14ac:dyDescent="0.2">
      <c r="A486" s="2">
        <v>15</v>
      </c>
      <c r="B486" s="1" t="s">
        <v>86</v>
      </c>
      <c r="C486" s="4">
        <v>15</v>
      </c>
      <c r="D486" s="8">
        <v>1.52</v>
      </c>
      <c r="E486" s="4">
        <v>14</v>
      </c>
      <c r="F486" s="8">
        <v>2.46</v>
      </c>
      <c r="G486" s="4">
        <v>1</v>
      </c>
      <c r="H486" s="8">
        <v>0.25</v>
      </c>
      <c r="I486" s="4">
        <v>0</v>
      </c>
    </row>
    <row r="487" spans="1:9" x14ac:dyDescent="0.2">
      <c r="A487" s="2">
        <v>16</v>
      </c>
      <c r="B487" s="1" t="s">
        <v>102</v>
      </c>
      <c r="C487" s="4">
        <v>12</v>
      </c>
      <c r="D487" s="8">
        <v>1.21</v>
      </c>
      <c r="E487" s="4">
        <v>2</v>
      </c>
      <c r="F487" s="8">
        <v>0.35</v>
      </c>
      <c r="G487" s="4">
        <v>9</v>
      </c>
      <c r="H487" s="8">
        <v>2.25</v>
      </c>
      <c r="I487" s="4">
        <v>1</v>
      </c>
    </row>
    <row r="488" spans="1:9" x14ac:dyDescent="0.2">
      <c r="A488" s="2">
        <v>17</v>
      </c>
      <c r="B488" s="1" t="s">
        <v>77</v>
      </c>
      <c r="C488" s="4">
        <v>10</v>
      </c>
      <c r="D488" s="8">
        <v>1.01</v>
      </c>
      <c r="E488" s="4">
        <v>2</v>
      </c>
      <c r="F488" s="8">
        <v>0.35</v>
      </c>
      <c r="G488" s="4">
        <v>8</v>
      </c>
      <c r="H488" s="8">
        <v>2</v>
      </c>
      <c r="I488" s="4">
        <v>0</v>
      </c>
    </row>
    <row r="489" spans="1:9" x14ac:dyDescent="0.2">
      <c r="A489" s="2">
        <v>17</v>
      </c>
      <c r="B489" s="1" t="s">
        <v>105</v>
      </c>
      <c r="C489" s="4">
        <v>10</v>
      </c>
      <c r="D489" s="8">
        <v>1.01</v>
      </c>
      <c r="E489" s="4">
        <v>5</v>
      </c>
      <c r="F489" s="8">
        <v>0.88</v>
      </c>
      <c r="G489" s="4">
        <v>5</v>
      </c>
      <c r="H489" s="8">
        <v>1.25</v>
      </c>
      <c r="I489" s="4">
        <v>0</v>
      </c>
    </row>
    <row r="490" spans="1:9" x14ac:dyDescent="0.2">
      <c r="A490" s="2">
        <v>19</v>
      </c>
      <c r="B490" s="1" t="s">
        <v>78</v>
      </c>
      <c r="C490" s="4">
        <v>9</v>
      </c>
      <c r="D490" s="8">
        <v>0.91</v>
      </c>
      <c r="E490" s="4">
        <v>2</v>
      </c>
      <c r="F490" s="8">
        <v>0.35</v>
      </c>
      <c r="G490" s="4">
        <v>7</v>
      </c>
      <c r="H490" s="8">
        <v>1.75</v>
      </c>
      <c r="I490" s="4">
        <v>0</v>
      </c>
    </row>
    <row r="491" spans="1:9" x14ac:dyDescent="0.2">
      <c r="A491" s="2">
        <v>19</v>
      </c>
      <c r="B491" s="1" t="s">
        <v>84</v>
      </c>
      <c r="C491" s="4">
        <v>9</v>
      </c>
      <c r="D491" s="8">
        <v>0.91</v>
      </c>
      <c r="E491" s="4">
        <v>4</v>
      </c>
      <c r="F491" s="8">
        <v>0.7</v>
      </c>
      <c r="G491" s="4">
        <v>5</v>
      </c>
      <c r="H491" s="8">
        <v>1.25</v>
      </c>
      <c r="I491" s="4">
        <v>0</v>
      </c>
    </row>
    <row r="492" spans="1:9" x14ac:dyDescent="0.2">
      <c r="A492" s="2">
        <v>19</v>
      </c>
      <c r="B492" s="1" t="s">
        <v>90</v>
      </c>
      <c r="C492" s="4">
        <v>9</v>
      </c>
      <c r="D492" s="8">
        <v>0.91</v>
      </c>
      <c r="E492" s="4">
        <v>8</v>
      </c>
      <c r="F492" s="8">
        <v>1.4</v>
      </c>
      <c r="G492" s="4">
        <v>1</v>
      </c>
      <c r="H492" s="8">
        <v>0.25</v>
      </c>
      <c r="I492" s="4">
        <v>0</v>
      </c>
    </row>
    <row r="493" spans="1:9" x14ac:dyDescent="0.2">
      <c r="A493" s="1"/>
      <c r="C493" s="4"/>
      <c r="D493" s="8"/>
      <c r="E493" s="4"/>
      <c r="F493" s="8"/>
      <c r="G493" s="4"/>
      <c r="H493" s="8"/>
      <c r="I493" s="4"/>
    </row>
    <row r="494" spans="1:9" x14ac:dyDescent="0.2">
      <c r="A494" s="1" t="s">
        <v>22</v>
      </c>
      <c r="C494" s="4"/>
      <c r="D494" s="8"/>
      <c r="E494" s="4"/>
      <c r="F494" s="8"/>
      <c r="G494" s="4"/>
      <c r="H494" s="8"/>
      <c r="I494" s="4"/>
    </row>
    <row r="495" spans="1:9" x14ac:dyDescent="0.2">
      <c r="A495" s="2">
        <v>1</v>
      </c>
      <c r="B495" s="1" t="s">
        <v>110</v>
      </c>
      <c r="C495" s="4">
        <v>157</v>
      </c>
      <c r="D495" s="8">
        <v>11.81</v>
      </c>
      <c r="E495" s="4">
        <v>93</v>
      </c>
      <c r="F495" s="8">
        <v>11.8</v>
      </c>
      <c r="G495" s="4">
        <v>64</v>
      </c>
      <c r="H495" s="8">
        <v>12.1</v>
      </c>
      <c r="I495" s="4">
        <v>0</v>
      </c>
    </row>
    <row r="496" spans="1:9" x14ac:dyDescent="0.2">
      <c r="A496" s="2">
        <v>2</v>
      </c>
      <c r="B496" s="1" t="s">
        <v>88</v>
      </c>
      <c r="C496" s="4">
        <v>136</v>
      </c>
      <c r="D496" s="8">
        <v>10.23</v>
      </c>
      <c r="E496" s="4">
        <v>127</v>
      </c>
      <c r="F496" s="8">
        <v>16.12</v>
      </c>
      <c r="G496" s="4">
        <v>8</v>
      </c>
      <c r="H496" s="8">
        <v>1.51</v>
      </c>
      <c r="I496" s="4">
        <v>1</v>
      </c>
    </row>
    <row r="497" spans="1:9" x14ac:dyDescent="0.2">
      <c r="A497" s="2">
        <v>3</v>
      </c>
      <c r="B497" s="1" t="s">
        <v>89</v>
      </c>
      <c r="C497" s="4">
        <v>120</v>
      </c>
      <c r="D497" s="8">
        <v>9.0299999999999994</v>
      </c>
      <c r="E497" s="4">
        <v>101</v>
      </c>
      <c r="F497" s="8">
        <v>12.82</v>
      </c>
      <c r="G497" s="4">
        <v>19</v>
      </c>
      <c r="H497" s="8">
        <v>3.59</v>
      </c>
      <c r="I497" s="4">
        <v>0</v>
      </c>
    </row>
    <row r="498" spans="1:9" x14ac:dyDescent="0.2">
      <c r="A498" s="2">
        <v>4</v>
      </c>
      <c r="B498" s="1" t="s">
        <v>83</v>
      </c>
      <c r="C498" s="4">
        <v>96</v>
      </c>
      <c r="D498" s="8">
        <v>7.22</v>
      </c>
      <c r="E498" s="4">
        <v>52</v>
      </c>
      <c r="F498" s="8">
        <v>6.6</v>
      </c>
      <c r="G498" s="4">
        <v>44</v>
      </c>
      <c r="H498" s="8">
        <v>8.32</v>
      </c>
      <c r="I498" s="4">
        <v>0</v>
      </c>
    </row>
    <row r="499" spans="1:9" x14ac:dyDescent="0.2">
      <c r="A499" s="2">
        <v>5</v>
      </c>
      <c r="B499" s="1" t="s">
        <v>74</v>
      </c>
      <c r="C499" s="4">
        <v>79</v>
      </c>
      <c r="D499" s="8">
        <v>5.94</v>
      </c>
      <c r="E499" s="4">
        <v>25</v>
      </c>
      <c r="F499" s="8">
        <v>3.17</v>
      </c>
      <c r="G499" s="4">
        <v>54</v>
      </c>
      <c r="H499" s="8">
        <v>10.210000000000001</v>
      </c>
      <c r="I499" s="4">
        <v>0</v>
      </c>
    </row>
    <row r="500" spans="1:9" x14ac:dyDescent="0.2">
      <c r="A500" s="2">
        <v>6</v>
      </c>
      <c r="B500" s="1" t="s">
        <v>82</v>
      </c>
      <c r="C500" s="4">
        <v>60</v>
      </c>
      <c r="D500" s="8">
        <v>4.51</v>
      </c>
      <c r="E500" s="4">
        <v>38</v>
      </c>
      <c r="F500" s="8">
        <v>4.82</v>
      </c>
      <c r="G500" s="4">
        <v>22</v>
      </c>
      <c r="H500" s="8">
        <v>4.16</v>
      </c>
      <c r="I500" s="4">
        <v>0</v>
      </c>
    </row>
    <row r="501" spans="1:9" x14ac:dyDescent="0.2">
      <c r="A501" s="2">
        <v>7</v>
      </c>
      <c r="B501" s="1" t="s">
        <v>75</v>
      </c>
      <c r="C501" s="4">
        <v>51</v>
      </c>
      <c r="D501" s="8">
        <v>3.84</v>
      </c>
      <c r="E501" s="4">
        <v>33</v>
      </c>
      <c r="F501" s="8">
        <v>4.1900000000000004</v>
      </c>
      <c r="G501" s="4">
        <v>18</v>
      </c>
      <c r="H501" s="8">
        <v>3.4</v>
      </c>
      <c r="I501" s="4">
        <v>0</v>
      </c>
    </row>
    <row r="502" spans="1:9" x14ac:dyDescent="0.2">
      <c r="A502" s="2">
        <v>8</v>
      </c>
      <c r="B502" s="1" t="s">
        <v>85</v>
      </c>
      <c r="C502" s="4">
        <v>42</v>
      </c>
      <c r="D502" s="8">
        <v>3.16</v>
      </c>
      <c r="E502" s="4">
        <v>12</v>
      </c>
      <c r="F502" s="8">
        <v>1.52</v>
      </c>
      <c r="G502" s="4">
        <v>30</v>
      </c>
      <c r="H502" s="8">
        <v>5.67</v>
      </c>
      <c r="I502" s="4">
        <v>0</v>
      </c>
    </row>
    <row r="503" spans="1:9" x14ac:dyDescent="0.2">
      <c r="A503" s="2">
        <v>9</v>
      </c>
      <c r="B503" s="1" t="s">
        <v>81</v>
      </c>
      <c r="C503" s="4">
        <v>40</v>
      </c>
      <c r="D503" s="8">
        <v>3.01</v>
      </c>
      <c r="E503" s="4">
        <v>34</v>
      </c>
      <c r="F503" s="8">
        <v>4.3099999999999996</v>
      </c>
      <c r="G503" s="4">
        <v>5</v>
      </c>
      <c r="H503" s="8">
        <v>0.95</v>
      </c>
      <c r="I503" s="4">
        <v>1</v>
      </c>
    </row>
    <row r="504" spans="1:9" x14ac:dyDescent="0.2">
      <c r="A504" s="2">
        <v>10</v>
      </c>
      <c r="B504" s="1" t="s">
        <v>91</v>
      </c>
      <c r="C504" s="4">
        <v>36</v>
      </c>
      <c r="D504" s="8">
        <v>2.71</v>
      </c>
      <c r="E504" s="4">
        <v>23</v>
      </c>
      <c r="F504" s="8">
        <v>2.92</v>
      </c>
      <c r="G504" s="4">
        <v>13</v>
      </c>
      <c r="H504" s="8">
        <v>2.46</v>
      </c>
      <c r="I504" s="4">
        <v>0</v>
      </c>
    </row>
    <row r="505" spans="1:9" x14ac:dyDescent="0.2">
      <c r="A505" s="2">
        <v>11</v>
      </c>
      <c r="B505" s="1" t="s">
        <v>86</v>
      </c>
      <c r="C505" s="4">
        <v>35</v>
      </c>
      <c r="D505" s="8">
        <v>2.63</v>
      </c>
      <c r="E505" s="4">
        <v>27</v>
      </c>
      <c r="F505" s="8">
        <v>3.43</v>
      </c>
      <c r="G505" s="4">
        <v>8</v>
      </c>
      <c r="H505" s="8">
        <v>1.51</v>
      </c>
      <c r="I505" s="4">
        <v>0</v>
      </c>
    </row>
    <row r="506" spans="1:9" x14ac:dyDescent="0.2">
      <c r="A506" s="2">
        <v>12</v>
      </c>
      <c r="B506" s="1" t="s">
        <v>76</v>
      </c>
      <c r="C506" s="4">
        <v>34</v>
      </c>
      <c r="D506" s="8">
        <v>2.56</v>
      </c>
      <c r="E506" s="4">
        <v>23</v>
      </c>
      <c r="F506" s="8">
        <v>2.92</v>
      </c>
      <c r="G506" s="4">
        <v>11</v>
      </c>
      <c r="H506" s="8">
        <v>2.08</v>
      </c>
      <c r="I506" s="4">
        <v>0</v>
      </c>
    </row>
    <row r="507" spans="1:9" x14ac:dyDescent="0.2">
      <c r="A507" s="2">
        <v>13</v>
      </c>
      <c r="B507" s="1" t="s">
        <v>80</v>
      </c>
      <c r="C507" s="4">
        <v>33</v>
      </c>
      <c r="D507" s="8">
        <v>2.48</v>
      </c>
      <c r="E507" s="4">
        <v>19</v>
      </c>
      <c r="F507" s="8">
        <v>2.41</v>
      </c>
      <c r="G507" s="4">
        <v>13</v>
      </c>
      <c r="H507" s="8">
        <v>2.46</v>
      </c>
      <c r="I507" s="4">
        <v>1</v>
      </c>
    </row>
    <row r="508" spans="1:9" x14ac:dyDescent="0.2">
      <c r="A508" s="2">
        <v>14</v>
      </c>
      <c r="B508" s="1" t="s">
        <v>77</v>
      </c>
      <c r="C508" s="4">
        <v>27</v>
      </c>
      <c r="D508" s="8">
        <v>2.0299999999999998</v>
      </c>
      <c r="E508" s="4">
        <v>15</v>
      </c>
      <c r="F508" s="8">
        <v>1.9</v>
      </c>
      <c r="G508" s="4">
        <v>12</v>
      </c>
      <c r="H508" s="8">
        <v>2.27</v>
      </c>
      <c r="I508" s="4">
        <v>0</v>
      </c>
    </row>
    <row r="509" spans="1:9" x14ac:dyDescent="0.2">
      <c r="A509" s="2">
        <v>14</v>
      </c>
      <c r="B509" s="1" t="s">
        <v>92</v>
      </c>
      <c r="C509" s="4">
        <v>27</v>
      </c>
      <c r="D509" s="8">
        <v>2.0299999999999998</v>
      </c>
      <c r="E509" s="4">
        <v>26</v>
      </c>
      <c r="F509" s="8">
        <v>3.3</v>
      </c>
      <c r="G509" s="4">
        <v>1</v>
      </c>
      <c r="H509" s="8">
        <v>0.19</v>
      </c>
      <c r="I509" s="4">
        <v>0</v>
      </c>
    </row>
    <row r="510" spans="1:9" x14ac:dyDescent="0.2">
      <c r="A510" s="2">
        <v>16</v>
      </c>
      <c r="B510" s="1" t="s">
        <v>103</v>
      </c>
      <c r="C510" s="4">
        <v>26</v>
      </c>
      <c r="D510" s="8">
        <v>1.96</v>
      </c>
      <c r="E510" s="4">
        <v>10</v>
      </c>
      <c r="F510" s="8">
        <v>1.27</v>
      </c>
      <c r="G510" s="4">
        <v>16</v>
      </c>
      <c r="H510" s="8">
        <v>3.02</v>
      </c>
      <c r="I510" s="4">
        <v>0</v>
      </c>
    </row>
    <row r="511" spans="1:9" x14ac:dyDescent="0.2">
      <c r="A511" s="2">
        <v>17</v>
      </c>
      <c r="B511" s="1" t="s">
        <v>87</v>
      </c>
      <c r="C511" s="4">
        <v>23</v>
      </c>
      <c r="D511" s="8">
        <v>1.73</v>
      </c>
      <c r="E511" s="4">
        <v>13</v>
      </c>
      <c r="F511" s="8">
        <v>1.65</v>
      </c>
      <c r="G511" s="4">
        <v>10</v>
      </c>
      <c r="H511" s="8">
        <v>1.89</v>
      </c>
      <c r="I511" s="4">
        <v>0</v>
      </c>
    </row>
    <row r="512" spans="1:9" x14ac:dyDescent="0.2">
      <c r="A512" s="2">
        <v>18</v>
      </c>
      <c r="B512" s="1" t="s">
        <v>104</v>
      </c>
      <c r="C512" s="4">
        <v>22</v>
      </c>
      <c r="D512" s="8">
        <v>1.66</v>
      </c>
      <c r="E512" s="4">
        <v>14</v>
      </c>
      <c r="F512" s="8">
        <v>1.78</v>
      </c>
      <c r="G512" s="4">
        <v>8</v>
      </c>
      <c r="H512" s="8">
        <v>1.51</v>
      </c>
      <c r="I512" s="4">
        <v>0</v>
      </c>
    </row>
    <row r="513" spans="1:9" x14ac:dyDescent="0.2">
      <c r="A513" s="2">
        <v>19</v>
      </c>
      <c r="B513" s="1" t="s">
        <v>111</v>
      </c>
      <c r="C513" s="4">
        <v>19</v>
      </c>
      <c r="D513" s="8">
        <v>1.43</v>
      </c>
      <c r="E513" s="4">
        <v>13</v>
      </c>
      <c r="F513" s="8">
        <v>1.65</v>
      </c>
      <c r="G513" s="4">
        <v>6</v>
      </c>
      <c r="H513" s="8">
        <v>1.1299999999999999</v>
      </c>
      <c r="I513" s="4">
        <v>0</v>
      </c>
    </row>
    <row r="514" spans="1:9" x14ac:dyDescent="0.2">
      <c r="A514" s="2">
        <v>20</v>
      </c>
      <c r="B514" s="1" t="s">
        <v>97</v>
      </c>
      <c r="C514" s="4">
        <v>18</v>
      </c>
      <c r="D514" s="8">
        <v>1.35</v>
      </c>
      <c r="E514" s="4">
        <v>3</v>
      </c>
      <c r="F514" s="8">
        <v>0.38</v>
      </c>
      <c r="G514" s="4">
        <v>15</v>
      </c>
      <c r="H514" s="8">
        <v>2.84</v>
      </c>
      <c r="I514" s="4">
        <v>0</v>
      </c>
    </row>
    <row r="515" spans="1:9" x14ac:dyDescent="0.2">
      <c r="A515" s="1"/>
      <c r="C515" s="4"/>
      <c r="D515" s="8"/>
      <c r="E515" s="4"/>
      <c r="F515" s="8"/>
      <c r="G515" s="4"/>
      <c r="H515" s="8"/>
      <c r="I515" s="4"/>
    </row>
    <row r="516" spans="1:9" x14ac:dyDescent="0.2">
      <c r="A516" s="1" t="s">
        <v>23</v>
      </c>
      <c r="C516" s="4"/>
      <c r="D516" s="8"/>
      <c r="E516" s="4"/>
      <c r="F516" s="8"/>
      <c r="G516" s="4"/>
      <c r="H516" s="8"/>
      <c r="I516" s="4"/>
    </row>
    <row r="517" spans="1:9" x14ac:dyDescent="0.2">
      <c r="A517" s="2">
        <v>1</v>
      </c>
      <c r="B517" s="1" t="s">
        <v>85</v>
      </c>
      <c r="C517" s="4">
        <v>378</v>
      </c>
      <c r="D517" s="8">
        <v>12.48</v>
      </c>
      <c r="E517" s="4">
        <v>63</v>
      </c>
      <c r="F517" s="8">
        <v>4.71</v>
      </c>
      <c r="G517" s="4">
        <v>314</v>
      </c>
      <c r="H517" s="8">
        <v>18.649999999999999</v>
      </c>
      <c r="I517" s="4">
        <v>1</v>
      </c>
    </row>
    <row r="518" spans="1:9" x14ac:dyDescent="0.2">
      <c r="A518" s="2">
        <v>2</v>
      </c>
      <c r="B518" s="1" t="s">
        <v>89</v>
      </c>
      <c r="C518" s="4">
        <v>296</v>
      </c>
      <c r="D518" s="8">
        <v>9.77</v>
      </c>
      <c r="E518" s="4">
        <v>227</v>
      </c>
      <c r="F518" s="8">
        <v>16.98</v>
      </c>
      <c r="G518" s="4">
        <v>69</v>
      </c>
      <c r="H518" s="8">
        <v>4.0999999999999996</v>
      </c>
      <c r="I518" s="4">
        <v>0</v>
      </c>
    </row>
    <row r="519" spans="1:9" x14ac:dyDescent="0.2">
      <c r="A519" s="2">
        <v>3</v>
      </c>
      <c r="B519" s="1" t="s">
        <v>88</v>
      </c>
      <c r="C519" s="4">
        <v>279</v>
      </c>
      <c r="D519" s="8">
        <v>9.2100000000000009</v>
      </c>
      <c r="E519" s="4">
        <v>244</v>
      </c>
      <c r="F519" s="8">
        <v>18.25</v>
      </c>
      <c r="G519" s="4">
        <v>35</v>
      </c>
      <c r="H519" s="8">
        <v>2.08</v>
      </c>
      <c r="I519" s="4">
        <v>0</v>
      </c>
    </row>
    <row r="520" spans="1:9" x14ac:dyDescent="0.2">
      <c r="A520" s="2">
        <v>4</v>
      </c>
      <c r="B520" s="1" t="s">
        <v>74</v>
      </c>
      <c r="C520" s="4">
        <v>215</v>
      </c>
      <c r="D520" s="8">
        <v>7.1</v>
      </c>
      <c r="E520" s="4">
        <v>42</v>
      </c>
      <c r="F520" s="8">
        <v>3.14</v>
      </c>
      <c r="G520" s="4">
        <v>173</v>
      </c>
      <c r="H520" s="8">
        <v>10.27</v>
      </c>
      <c r="I520" s="4">
        <v>0</v>
      </c>
    </row>
    <row r="521" spans="1:9" x14ac:dyDescent="0.2">
      <c r="A521" s="2">
        <v>5</v>
      </c>
      <c r="B521" s="1" t="s">
        <v>83</v>
      </c>
      <c r="C521" s="4">
        <v>188</v>
      </c>
      <c r="D521" s="8">
        <v>6.2</v>
      </c>
      <c r="E521" s="4">
        <v>96</v>
      </c>
      <c r="F521" s="8">
        <v>7.18</v>
      </c>
      <c r="G521" s="4">
        <v>92</v>
      </c>
      <c r="H521" s="8">
        <v>5.46</v>
      </c>
      <c r="I521" s="4">
        <v>0</v>
      </c>
    </row>
    <row r="522" spans="1:9" x14ac:dyDescent="0.2">
      <c r="A522" s="2">
        <v>6</v>
      </c>
      <c r="B522" s="1" t="s">
        <v>91</v>
      </c>
      <c r="C522" s="4">
        <v>165</v>
      </c>
      <c r="D522" s="8">
        <v>5.45</v>
      </c>
      <c r="E522" s="4">
        <v>118</v>
      </c>
      <c r="F522" s="8">
        <v>8.83</v>
      </c>
      <c r="G522" s="4">
        <v>46</v>
      </c>
      <c r="H522" s="8">
        <v>2.73</v>
      </c>
      <c r="I522" s="4">
        <v>1</v>
      </c>
    </row>
    <row r="523" spans="1:9" x14ac:dyDescent="0.2">
      <c r="A523" s="2">
        <v>7</v>
      </c>
      <c r="B523" s="1" t="s">
        <v>92</v>
      </c>
      <c r="C523" s="4">
        <v>143</v>
      </c>
      <c r="D523" s="8">
        <v>4.72</v>
      </c>
      <c r="E523" s="4">
        <v>123</v>
      </c>
      <c r="F523" s="8">
        <v>9.1999999999999993</v>
      </c>
      <c r="G523" s="4">
        <v>20</v>
      </c>
      <c r="H523" s="8">
        <v>1.19</v>
      </c>
      <c r="I523" s="4">
        <v>0</v>
      </c>
    </row>
    <row r="524" spans="1:9" x14ac:dyDescent="0.2">
      <c r="A524" s="2">
        <v>8</v>
      </c>
      <c r="B524" s="1" t="s">
        <v>86</v>
      </c>
      <c r="C524" s="4">
        <v>130</v>
      </c>
      <c r="D524" s="8">
        <v>4.29</v>
      </c>
      <c r="E524" s="4">
        <v>59</v>
      </c>
      <c r="F524" s="8">
        <v>4.41</v>
      </c>
      <c r="G524" s="4">
        <v>71</v>
      </c>
      <c r="H524" s="8">
        <v>4.22</v>
      </c>
      <c r="I524" s="4">
        <v>0</v>
      </c>
    </row>
    <row r="525" spans="1:9" x14ac:dyDescent="0.2">
      <c r="A525" s="2">
        <v>9</v>
      </c>
      <c r="B525" s="1" t="s">
        <v>81</v>
      </c>
      <c r="C525" s="4">
        <v>125</v>
      </c>
      <c r="D525" s="8">
        <v>4.13</v>
      </c>
      <c r="E525" s="4">
        <v>76</v>
      </c>
      <c r="F525" s="8">
        <v>5.68</v>
      </c>
      <c r="G525" s="4">
        <v>49</v>
      </c>
      <c r="H525" s="8">
        <v>2.91</v>
      </c>
      <c r="I525" s="4">
        <v>0</v>
      </c>
    </row>
    <row r="526" spans="1:9" x14ac:dyDescent="0.2">
      <c r="A526" s="2">
        <v>10</v>
      </c>
      <c r="B526" s="1" t="s">
        <v>75</v>
      </c>
      <c r="C526" s="4">
        <v>93</v>
      </c>
      <c r="D526" s="8">
        <v>3.07</v>
      </c>
      <c r="E526" s="4">
        <v>21</v>
      </c>
      <c r="F526" s="8">
        <v>1.57</v>
      </c>
      <c r="G526" s="4">
        <v>72</v>
      </c>
      <c r="H526" s="8">
        <v>4.28</v>
      </c>
      <c r="I526" s="4">
        <v>0</v>
      </c>
    </row>
    <row r="527" spans="1:9" x14ac:dyDescent="0.2">
      <c r="A527" s="2">
        <v>11</v>
      </c>
      <c r="B527" s="1" t="s">
        <v>76</v>
      </c>
      <c r="C527" s="4">
        <v>87</v>
      </c>
      <c r="D527" s="8">
        <v>2.87</v>
      </c>
      <c r="E527" s="4">
        <v>14</v>
      </c>
      <c r="F527" s="8">
        <v>1.05</v>
      </c>
      <c r="G527" s="4">
        <v>73</v>
      </c>
      <c r="H527" s="8">
        <v>4.33</v>
      </c>
      <c r="I527" s="4">
        <v>0</v>
      </c>
    </row>
    <row r="528" spans="1:9" x14ac:dyDescent="0.2">
      <c r="A528" s="2">
        <v>12</v>
      </c>
      <c r="B528" s="1" t="s">
        <v>80</v>
      </c>
      <c r="C528" s="4">
        <v>82</v>
      </c>
      <c r="D528" s="8">
        <v>2.71</v>
      </c>
      <c r="E528" s="4">
        <v>47</v>
      </c>
      <c r="F528" s="8">
        <v>3.52</v>
      </c>
      <c r="G528" s="4">
        <v>35</v>
      </c>
      <c r="H528" s="8">
        <v>2.08</v>
      </c>
      <c r="I528" s="4">
        <v>0</v>
      </c>
    </row>
    <row r="529" spans="1:9" x14ac:dyDescent="0.2">
      <c r="A529" s="2">
        <v>13</v>
      </c>
      <c r="B529" s="1" t="s">
        <v>82</v>
      </c>
      <c r="C529" s="4">
        <v>81</v>
      </c>
      <c r="D529" s="8">
        <v>2.67</v>
      </c>
      <c r="E529" s="4">
        <v>43</v>
      </c>
      <c r="F529" s="8">
        <v>3.22</v>
      </c>
      <c r="G529" s="4">
        <v>38</v>
      </c>
      <c r="H529" s="8">
        <v>2.2599999999999998</v>
      </c>
      <c r="I529" s="4">
        <v>0</v>
      </c>
    </row>
    <row r="530" spans="1:9" x14ac:dyDescent="0.2">
      <c r="A530" s="2">
        <v>14</v>
      </c>
      <c r="B530" s="1" t="s">
        <v>84</v>
      </c>
      <c r="C530" s="4">
        <v>74</v>
      </c>
      <c r="D530" s="8">
        <v>2.44</v>
      </c>
      <c r="E530" s="4">
        <v>14</v>
      </c>
      <c r="F530" s="8">
        <v>1.05</v>
      </c>
      <c r="G530" s="4">
        <v>60</v>
      </c>
      <c r="H530" s="8">
        <v>3.56</v>
      </c>
      <c r="I530" s="4">
        <v>0</v>
      </c>
    </row>
    <row r="531" spans="1:9" x14ac:dyDescent="0.2">
      <c r="A531" s="2">
        <v>15</v>
      </c>
      <c r="B531" s="1" t="s">
        <v>87</v>
      </c>
      <c r="C531" s="4">
        <v>71</v>
      </c>
      <c r="D531" s="8">
        <v>2.34</v>
      </c>
      <c r="E531" s="4">
        <v>31</v>
      </c>
      <c r="F531" s="8">
        <v>2.3199999999999998</v>
      </c>
      <c r="G531" s="4">
        <v>40</v>
      </c>
      <c r="H531" s="8">
        <v>2.38</v>
      </c>
      <c r="I531" s="4">
        <v>0</v>
      </c>
    </row>
    <row r="532" spans="1:9" x14ac:dyDescent="0.2">
      <c r="A532" s="2">
        <v>16</v>
      </c>
      <c r="B532" s="1" t="s">
        <v>94</v>
      </c>
      <c r="C532" s="4">
        <v>53</v>
      </c>
      <c r="D532" s="8">
        <v>1.75</v>
      </c>
      <c r="E532" s="4">
        <v>1</v>
      </c>
      <c r="F532" s="8">
        <v>7.0000000000000007E-2</v>
      </c>
      <c r="G532" s="4">
        <v>51</v>
      </c>
      <c r="H532" s="8">
        <v>3.03</v>
      </c>
      <c r="I532" s="4">
        <v>1</v>
      </c>
    </row>
    <row r="533" spans="1:9" x14ac:dyDescent="0.2">
      <c r="A533" s="2">
        <v>17</v>
      </c>
      <c r="B533" s="1" t="s">
        <v>93</v>
      </c>
      <c r="C533" s="4">
        <v>49</v>
      </c>
      <c r="D533" s="8">
        <v>1.62</v>
      </c>
      <c r="E533" s="4">
        <v>0</v>
      </c>
      <c r="F533" s="8">
        <v>0</v>
      </c>
      <c r="G533" s="4">
        <v>49</v>
      </c>
      <c r="H533" s="8">
        <v>2.91</v>
      </c>
      <c r="I533" s="4">
        <v>0</v>
      </c>
    </row>
    <row r="534" spans="1:9" x14ac:dyDescent="0.2">
      <c r="A534" s="2">
        <v>18</v>
      </c>
      <c r="B534" s="1" t="s">
        <v>90</v>
      </c>
      <c r="C534" s="4">
        <v>47</v>
      </c>
      <c r="D534" s="8">
        <v>1.55</v>
      </c>
      <c r="E534" s="4">
        <v>19</v>
      </c>
      <c r="F534" s="8">
        <v>1.42</v>
      </c>
      <c r="G534" s="4">
        <v>26</v>
      </c>
      <c r="H534" s="8">
        <v>1.54</v>
      </c>
      <c r="I534" s="4">
        <v>0</v>
      </c>
    </row>
    <row r="535" spans="1:9" x14ac:dyDescent="0.2">
      <c r="A535" s="2">
        <v>19</v>
      </c>
      <c r="B535" s="1" t="s">
        <v>101</v>
      </c>
      <c r="C535" s="4">
        <v>45</v>
      </c>
      <c r="D535" s="8">
        <v>1.49</v>
      </c>
      <c r="E535" s="4">
        <v>2</v>
      </c>
      <c r="F535" s="8">
        <v>0.15</v>
      </c>
      <c r="G535" s="4">
        <v>43</v>
      </c>
      <c r="H535" s="8">
        <v>2.5499999999999998</v>
      </c>
      <c r="I535" s="4">
        <v>0</v>
      </c>
    </row>
    <row r="536" spans="1:9" x14ac:dyDescent="0.2">
      <c r="A536" s="2">
        <v>20</v>
      </c>
      <c r="B536" s="1" t="s">
        <v>78</v>
      </c>
      <c r="C536" s="4">
        <v>35</v>
      </c>
      <c r="D536" s="8">
        <v>1.1599999999999999</v>
      </c>
      <c r="E536" s="4">
        <v>4</v>
      </c>
      <c r="F536" s="8">
        <v>0.3</v>
      </c>
      <c r="G536" s="4">
        <v>31</v>
      </c>
      <c r="H536" s="8">
        <v>1.84</v>
      </c>
      <c r="I536" s="4">
        <v>0</v>
      </c>
    </row>
    <row r="537" spans="1:9" x14ac:dyDescent="0.2">
      <c r="A537" s="1"/>
      <c r="C537" s="4"/>
      <c r="D537" s="8"/>
      <c r="E537" s="4"/>
      <c r="F537" s="8"/>
      <c r="G537" s="4"/>
      <c r="H537" s="8"/>
      <c r="I537" s="4"/>
    </row>
    <row r="538" spans="1:9" x14ac:dyDescent="0.2">
      <c r="A538" s="1" t="s">
        <v>24</v>
      </c>
      <c r="C538" s="4"/>
      <c r="D538" s="8"/>
      <c r="E538" s="4"/>
      <c r="F538" s="8"/>
      <c r="G538" s="4"/>
      <c r="H538" s="8"/>
      <c r="I538" s="4"/>
    </row>
    <row r="539" spans="1:9" x14ac:dyDescent="0.2">
      <c r="A539" s="2">
        <v>1</v>
      </c>
      <c r="B539" s="1" t="s">
        <v>88</v>
      </c>
      <c r="C539" s="4">
        <v>190</v>
      </c>
      <c r="D539" s="8">
        <v>10.84</v>
      </c>
      <c r="E539" s="4">
        <v>178</v>
      </c>
      <c r="F539" s="8">
        <v>17.690000000000001</v>
      </c>
      <c r="G539" s="4">
        <v>12</v>
      </c>
      <c r="H539" s="8">
        <v>1.63</v>
      </c>
      <c r="I539" s="4">
        <v>0</v>
      </c>
    </row>
    <row r="540" spans="1:9" x14ac:dyDescent="0.2">
      <c r="A540" s="2">
        <v>2</v>
      </c>
      <c r="B540" s="1" t="s">
        <v>89</v>
      </c>
      <c r="C540" s="4">
        <v>166</v>
      </c>
      <c r="D540" s="8">
        <v>9.4700000000000006</v>
      </c>
      <c r="E540" s="4">
        <v>147</v>
      </c>
      <c r="F540" s="8">
        <v>14.61</v>
      </c>
      <c r="G540" s="4">
        <v>19</v>
      </c>
      <c r="H540" s="8">
        <v>2.58</v>
      </c>
      <c r="I540" s="4">
        <v>0</v>
      </c>
    </row>
    <row r="541" spans="1:9" x14ac:dyDescent="0.2">
      <c r="A541" s="2">
        <v>3</v>
      </c>
      <c r="B541" s="1" t="s">
        <v>77</v>
      </c>
      <c r="C541" s="4">
        <v>146</v>
      </c>
      <c r="D541" s="8">
        <v>8.33</v>
      </c>
      <c r="E541" s="4">
        <v>81</v>
      </c>
      <c r="F541" s="8">
        <v>8.0500000000000007</v>
      </c>
      <c r="G541" s="4">
        <v>65</v>
      </c>
      <c r="H541" s="8">
        <v>8.83</v>
      </c>
      <c r="I541" s="4">
        <v>0</v>
      </c>
    </row>
    <row r="542" spans="1:9" x14ac:dyDescent="0.2">
      <c r="A542" s="2">
        <v>4</v>
      </c>
      <c r="B542" s="1" t="s">
        <v>74</v>
      </c>
      <c r="C542" s="4">
        <v>129</v>
      </c>
      <c r="D542" s="8">
        <v>7.36</v>
      </c>
      <c r="E542" s="4">
        <v>46</v>
      </c>
      <c r="F542" s="8">
        <v>4.57</v>
      </c>
      <c r="G542" s="4">
        <v>83</v>
      </c>
      <c r="H542" s="8">
        <v>11.28</v>
      </c>
      <c r="I542" s="4">
        <v>0</v>
      </c>
    </row>
    <row r="543" spans="1:9" x14ac:dyDescent="0.2">
      <c r="A543" s="2">
        <v>5</v>
      </c>
      <c r="B543" s="1" t="s">
        <v>83</v>
      </c>
      <c r="C543" s="4">
        <v>102</v>
      </c>
      <c r="D543" s="8">
        <v>5.82</v>
      </c>
      <c r="E543" s="4">
        <v>61</v>
      </c>
      <c r="F543" s="8">
        <v>6.06</v>
      </c>
      <c r="G543" s="4">
        <v>40</v>
      </c>
      <c r="H543" s="8">
        <v>5.43</v>
      </c>
      <c r="I543" s="4">
        <v>1</v>
      </c>
    </row>
    <row r="544" spans="1:9" x14ac:dyDescent="0.2">
      <c r="A544" s="2">
        <v>6</v>
      </c>
      <c r="B544" s="1" t="s">
        <v>79</v>
      </c>
      <c r="C544" s="4">
        <v>64</v>
      </c>
      <c r="D544" s="8">
        <v>3.65</v>
      </c>
      <c r="E544" s="4">
        <v>32</v>
      </c>
      <c r="F544" s="8">
        <v>3.18</v>
      </c>
      <c r="G544" s="4">
        <v>32</v>
      </c>
      <c r="H544" s="8">
        <v>4.3499999999999996</v>
      </c>
      <c r="I544" s="4">
        <v>0</v>
      </c>
    </row>
    <row r="545" spans="1:9" x14ac:dyDescent="0.2">
      <c r="A545" s="2">
        <v>6</v>
      </c>
      <c r="B545" s="1" t="s">
        <v>91</v>
      </c>
      <c r="C545" s="4">
        <v>64</v>
      </c>
      <c r="D545" s="8">
        <v>3.65</v>
      </c>
      <c r="E545" s="4">
        <v>43</v>
      </c>
      <c r="F545" s="8">
        <v>4.2699999999999996</v>
      </c>
      <c r="G545" s="4">
        <v>18</v>
      </c>
      <c r="H545" s="8">
        <v>2.4500000000000002</v>
      </c>
      <c r="I545" s="4">
        <v>0</v>
      </c>
    </row>
    <row r="546" spans="1:9" x14ac:dyDescent="0.2">
      <c r="A546" s="2">
        <v>8</v>
      </c>
      <c r="B546" s="1" t="s">
        <v>82</v>
      </c>
      <c r="C546" s="4">
        <v>62</v>
      </c>
      <c r="D546" s="8">
        <v>3.54</v>
      </c>
      <c r="E546" s="4">
        <v>38</v>
      </c>
      <c r="F546" s="8">
        <v>3.78</v>
      </c>
      <c r="G546" s="4">
        <v>24</v>
      </c>
      <c r="H546" s="8">
        <v>3.26</v>
      </c>
      <c r="I546" s="4">
        <v>0</v>
      </c>
    </row>
    <row r="547" spans="1:9" x14ac:dyDescent="0.2">
      <c r="A547" s="2">
        <v>9</v>
      </c>
      <c r="B547" s="1" t="s">
        <v>81</v>
      </c>
      <c r="C547" s="4">
        <v>59</v>
      </c>
      <c r="D547" s="8">
        <v>3.37</v>
      </c>
      <c r="E547" s="4">
        <v>48</v>
      </c>
      <c r="F547" s="8">
        <v>4.7699999999999996</v>
      </c>
      <c r="G547" s="4">
        <v>10</v>
      </c>
      <c r="H547" s="8">
        <v>1.36</v>
      </c>
      <c r="I547" s="4">
        <v>1</v>
      </c>
    </row>
    <row r="548" spans="1:9" x14ac:dyDescent="0.2">
      <c r="A548" s="2">
        <v>10</v>
      </c>
      <c r="B548" s="1" t="s">
        <v>75</v>
      </c>
      <c r="C548" s="4">
        <v>55</v>
      </c>
      <c r="D548" s="8">
        <v>3.14</v>
      </c>
      <c r="E548" s="4">
        <v>32</v>
      </c>
      <c r="F548" s="8">
        <v>3.18</v>
      </c>
      <c r="G548" s="4">
        <v>23</v>
      </c>
      <c r="H548" s="8">
        <v>3.13</v>
      </c>
      <c r="I548" s="4">
        <v>0</v>
      </c>
    </row>
    <row r="549" spans="1:9" x14ac:dyDescent="0.2">
      <c r="A549" s="2">
        <v>11</v>
      </c>
      <c r="B549" s="1" t="s">
        <v>76</v>
      </c>
      <c r="C549" s="4">
        <v>50</v>
      </c>
      <c r="D549" s="8">
        <v>2.85</v>
      </c>
      <c r="E549" s="4">
        <v>27</v>
      </c>
      <c r="F549" s="8">
        <v>2.68</v>
      </c>
      <c r="G549" s="4">
        <v>23</v>
      </c>
      <c r="H549" s="8">
        <v>3.13</v>
      </c>
      <c r="I549" s="4">
        <v>0</v>
      </c>
    </row>
    <row r="550" spans="1:9" x14ac:dyDescent="0.2">
      <c r="A550" s="2">
        <v>12</v>
      </c>
      <c r="B550" s="1" t="s">
        <v>85</v>
      </c>
      <c r="C550" s="4">
        <v>49</v>
      </c>
      <c r="D550" s="8">
        <v>2.8</v>
      </c>
      <c r="E550" s="4">
        <v>8</v>
      </c>
      <c r="F550" s="8">
        <v>0.8</v>
      </c>
      <c r="G550" s="4">
        <v>41</v>
      </c>
      <c r="H550" s="8">
        <v>5.57</v>
      </c>
      <c r="I550" s="4">
        <v>0</v>
      </c>
    </row>
    <row r="551" spans="1:9" x14ac:dyDescent="0.2">
      <c r="A551" s="2">
        <v>12</v>
      </c>
      <c r="B551" s="1" t="s">
        <v>92</v>
      </c>
      <c r="C551" s="4">
        <v>49</v>
      </c>
      <c r="D551" s="8">
        <v>2.8</v>
      </c>
      <c r="E551" s="4">
        <v>45</v>
      </c>
      <c r="F551" s="8">
        <v>4.47</v>
      </c>
      <c r="G551" s="4">
        <v>4</v>
      </c>
      <c r="H551" s="8">
        <v>0.54</v>
      </c>
      <c r="I551" s="4">
        <v>0</v>
      </c>
    </row>
    <row r="552" spans="1:9" x14ac:dyDescent="0.2">
      <c r="A552" s="2">
        <v>14</v>
      </c>
      <c r="B552" s="1" t="s">
        <v>80</v>
      </c>
      <c r="C552" s="4">
        <v>39</v>
      </c>
      <c r="D552" s="8">
        <v>2.23</v>
      </c>
      <c r="E552" s="4">
        <v>24</v>
      </c>
      <c r="F552" s="8">
        <v>2.39</v>
      </c>
      <c r="G552" s="4">
        <v>15</v>
      </c>
      <c r="H552" s="8">
        <v>2.04</v>
      </c>
      <c r="I552" s="4">
        <v>0</v>
      </c>
    </row>
    <row r="553" spans="1:9" x14ac:dyDescent="0.2">
      <c r="A553" s="2">
        <v>15</v>
      </c>
      <c r="B553" s="1" t="s">
        <v>78</v>
      </c>
      <c r="C553" s="4">
        <v>34</v>
      </c>
      <c r="D553" s="8">
        <v>1.94</v>
      </c>
      <c r="E553" s="4">
        <v>9</v>
      </c>
      <c r="F553" s="8">
        <v>0.89</v>
      </c>
      <c r="G553" s="4">
        <v>25</v>
      </c>
      <c r="H553" s="8">
        <v>3.4</v>
      </c>
      <c r="I553" s="4">
        <v>0</v>
      </c>
    </row>
    <row r="554" spans="1:9" x14ac:dyDescent="0.2">
      <c r="A554" s="2">
        <v>16</v>
      </c>
      <c r="B554" s="1" t="s">
        <v>104</v>
      </c>
      <c r="C554" s="4">
        <v>31</v>
      </c>
      <c r="D554" s="8">
        <v>1.77</v>
      </c>
      <c r="E554" s="4">
        <v>27</v>
      </c>
      <c r="F554" s="8">
        <v>2.68</v>
      </c>
      <c r="G554" s="4">
        <v>4</v>
      </c>
      <c r="H554" s="8">
        <v>0.54</v>
      </c>
      <c r="I554" s="4">
        <v>0</v>
      </c>
    </row>
    <row r="555" spans="1:9" x14ac:dyDescent="0.2">
      <c r="A555" s="2">
        <v>17</v>
      </c>
      <c r="B555" s="1" t="s">
        <v>86</v>
      </c>
      <c r="C555" s="4">
        <v>29</v>
      </c>
      <c r="D555" s="8">
        <v>1.66</v>
      </c>
      <c r="E555" s="4">
        <v>21</v>
      </c>
      <c r="F555" s="8">
        <v>2.09</v>
      </c>
      <c r="G555" s="4">
        <v>8</v>
      </c>
      <c r="H555" s="8">
        <v>1.0900000000000001</v>
      </c>
      <c r="I555" s="4">
        <v>0</v>
      </c>
    </row>
    <row r="556" spans="1:9" x14ac:dyDescent="0.2">
      <c r="A556" s="2">
        <v>18</v>
      </c>
      <c r="B556" s="1" t="s">
        <v>100</v>
      </c>
      <c r="C556" s="4">
        <v>26</v>
      </c>
      <c r="D556" s="8">
        <v>1.48</v>
      </c>
      <c r="E556" s="4">
        <v>12</v>
      </c>
      <c r="F556" s="8">
        <v>1.19</v>
      </c>
      <c r="G556" s="4">
        <v>14</v>
      </c>
      <c r="H556" s="8">
        <v>1.9</v>
      </c>
      <c r="I556" s="4">
        <v>0</v>
      </c>
    </row>
    <row r="557" spans="1:9" x14ac:dyDescent="0.2">
      <c r="A557" s="2">
        <v>19</v>
      </c>
      <c r="B557" s="1" t="s">
        <v>112</v>
      </c>
      <c r="C557" s="4">
        <v>25</v>
      </c>
      <c r="D557" s="8">
        <v>1.43</v>
      </c>
      <c r="E557" s="4">
        <v>15</v>
      </c>
      <c r="F557" s="8">
        <v>1.49</v>
      </c>
      <c r="G557" s="4">
        <v>10</v>
      </c>
      <c r="H557" s="8">
        <v>1.36</v>
      </c>
      <c r="I557" s="4">
        <v>0</v>
      </c>
    </row>
    <row r="558" spans="1:9" x14ac:dyDescent="0.2">
      <c r="A558" s="2">
        <v>20</v>
      </c>
      <c r="B558" s="1" t="s">
        <v>97</v>
      </c>
      <c r="C558" s="4">
        <v>24</v>
      </c>
      <c r="D558" s="8">
        <v>1.37</v>
      </c>
      <c r="E558" s="4">
        <v>8</v>
      </c>
      <c r="F558" s="8">
        <v>0.8</v>
      </c>
      <c r="G558" s="4">
        <v>16</v>
      </c>
      <c r="H558" s="8">
        <v>2.17</v>
      </c>
      <c r="I558" s="4">
        <v>0</v>
      </c>
    </row>
    <row r="559" spans="1:9" x14ac:dyDescent="0.2">
      <c r="A559" s="2">
        <v>20</v>
      </c>
      <c r="B559" s="1" t="s">
        <v>101</v>
      </c>
      <c r="C559" s="4">
        <v>24</v>
      </c>
      <c r="D559" s="8">
        <v>1.37</v>
      </c>
      <c r="E559" s="4">
        <v>4</v>
      </c>
      <c r="F559" s="8">
        <v>0.4</v>
      </c>
      <c r="G559" s="4">
        <v>20</v>
      </c>
      <c r="H559" s="8">
        <v>2.72</v>
      </c>
      <c r="I559" s="4">
        <v>0</v>
      </c>
    </row>
    <row r="560" spans="1:9" x14ac:dyDescent="0.2">
      <c r="A560" s="2">
        <v>20</v>
      </c>
      <c r="B560" s="1" t="s">
        <v>87</v>
      </c>
      <c r="C560" s="4">
        <v>24</v>
      </c>
      <c r="D560" s="8">
        <v>1.37</v>
      </c>
      <c r="E560" s="4">
        <v>16</v>
      </c>
      <c r="F560" s="8">
        <v>1.59</v>
      </c>
      <c r="G560" s="4">
        <v>8</v>
      </c>
      <c r="H560" s="8">
        <v>1.0900000000000001</v>
      </c>
      <c r="I560" s="4">
        <v>0</v>
      </c>
    </row>
    <row r="561" spans="1:9" x14ac:dyDescent="0.2">
      <c r="A561" s="2">
        <v>20</v>
      </c>
      <c r="B561" s="1" t="s">
        <v>93</v>
      </c>
      <c r="C561" s="4">
        <v>24</v>
      </c>
      <c r="D561" s="8">
        <v>1.37</v>
      </c>
      <c r="E561" s="4">
        <v>0</v>
      </c>
      <c r="F561" s="8">
        <v>0</v>
      </c>
      <c r="G561" s="4">
        <v>22</v>
      </c>
      <c r="H561" s="8">
        <v>2.99</v>
      </c>
      <c r="I561" s="4">
        <v>0</v>
      </c>
    </row>
    <row r="562" spans="1:9" x14ac:dyDescent="0.2">
      <c r="A562" s="1"/>
      <c r="C562" s="4"/>
      <c r="D562" s="8"/>
      <c r="E562" s="4"/>
      <c r="F562" s="8"/>
      <c r="G562" s="4"/>
      <c r="H562" s="8"/>
      <c r="I562" s="4"/>
    </row>
    <row r="563" spans="1:9" x14ac:dyDescent="0.2">
      <c r="A563" s="1" t="s">
        <v>25</v>
      </c>
      <c r="C563" s="4"/>
      <c r="D563" s="8"/>
      <c r="E563" s="4"/>
      <c r="F563" s="8"/>
      <c r="G563" s="4"/>
      <c r="H563" s="8"/>
      <c r="I563" s="4"/>
    </row>
    <row r="564" spans="1:9" x14ac:dyDescent="0.2">
      <c r="A564" s="2">
        <v>1</v>
      </c>
      <c r="B564" s="1" t="s">
        <v>88</v>
      </c>
      <c r="C564" s="4">
        <v>254</v>
      </c>
      <c r="D564" s="8">
        <v>14.65</v>
      </c>
      <c r="E564" s="4">
        <v>243</v>
      </c>
      <c r="F564" s="8">
        <v>24.72</v>
      </c>
      <c r="G564" s="4">
        <v>11</v>
      </c>
      <c r="H564" s="8">
        <v>1.48</v>
      </c>
      <c r="I564" s="4">
        <v>0</v>
      </c>
    </row>
    <row r="565" spans="1:9" x14ac:dyDescent="0.2">
      <c r="A565" s="2">
        <v>2</v>
      </c>
      <c r="B565" s="1" t="s">
        <v>89</v>
      </c>
      <c r="C565" s="4">
        <v>188</v>
      </c>
      <c r="D565" s="8">
        <v>10.84</v>
      </c>
      <c r="E565" s="4">
        <v>167</v>
      </c>
      <c r="F565" s="8">
        <v>16.989999999999998</v>
      </c>
      <c r="G565" s="4">
        <v>21</v>
      </c>
      <c r="H565" s="8">
        <v>2.83</v>
      </c>
      <c r="I565" s="4">
        <v>0</v>
      </c>
    </row>
    <row r="566" spans="1:9" x14ac:dyDescent="0.2">
      <c r="A566" s="2">
        <v>3</v>
      </c>
      <c r="B566" s="1" t="s">
        <v>85</v>
      </c>
      <c r="C566" s="4">
        <v>109</v>
      </c>
      <c r="D566" s="8">
        <v>6.29</v>
      </c>
      <c r="E566" s="4">
        <v>46</v>
      </c>
      <c r="F566" s="8">
        <v>4.68</v>
      </c>
      <c r="G566" s="4">
        <v>63</v>
      </c>
      <c r="H566" s="8">
        <v>8.49</v>
      </c>
      <c r="I566" s="4">
        <v>0</v>
      </c>
    </row>
    <row r="567" spans="1:9" x14ac:dyDescent="0.2">
      <c r="A567" s="2">
        <v>4</v>
      </c>
      <c r="B567" s="1" t="s">
        <v>74</v>
      </c>
      <c r="C567" s="4">
        <v>103</v>
      </c>
      <c r="D567" s="8">
        <v>5.94</v>
      </c>
      <c r="E567" s="4">
        <v>19</v>
      </c>
      <c r="F567" s="8">
        <v>1.93</v>
      </c>
      <c r="G567" s="4">
        <v>84</v>
      </c>
      <c r="H567" s="8">
        <v>11.32</v>
      </c>
      <c r="I567" s="4">
        <v>0</v>
      </c>
    </row>
    <row r="568" spans="1:9" x14ac:dyDescent="0.2">
      <c r="A568" s="2">
        <v>5</v>
      </c>
      <c r="B568" s="1" t="s">
        <v>91</v>
      </c>
      <c r="C568" s="4">
        <v>102</v>
      </c>
      <c r="D568" s="8">
        <v>5.88</v>
      </c>
      <c r="E568" s="4">
        <v>75</v>
      </c>
      <c r="F568" s="8">
        <v>7.63</v>
      </c>
      <c r="G568" s="4">
        <v>20</v>
      </c>
      <c r="H568" s="8">
        <v>2.7</v>
      </c>
      <c r="I568" s="4">
        <v>0</v>
      </c>
    </row>
    <row r="569" spans="1:9" x14ac:dyDescent="0.2">
      <c r="A569" s="2">
        <v>6</v>
      </c>
      <c r="B569" s="1" t="s">
        <v>83</v>
      </c>
      <c r="C569" s="4">
        <v>101</v>
      </c>
      <c r="D569" s="8">
        <v>5.82</v>
      </c>
      <c r="E569" s="4">
        <v>52</v>
      </c>
      <c r="F569" s="8">
        <v>5.29</v>
      </c>
      <c r="G569" s="4">
        <v>49</v>
      </c>
      <c r="H569" s="8">
        <v>6.6</v>
      </c>
      <c r="I569" s="4">
        <v>0</v>
      </c>
    </row>
    <row r="570" spans="1:9" x14ac:dyDescent="0.2">
      <c r="A570" s="2">
        <v>7</v>
      </c>
      <c r="B570" s="1" t="s">
        <v>76</v>
      </c>
      <c r="C570" s="4">
        <v>99</v>
      </c>
      <c r="D570" s="8">
        <v>5.71</v>
      </c>
      <c r="E570" s="4">
        <v>20</v>
      </c>
      <c r="F570" s="8">
        <v>2.0299999999999998</v>
      </c>
      <c r="G570" s="4">
        <v>79</v>
      </c>
      <c r="H570" s="8">
        <v>10.65</v>
      </c>
      <c r="I570" s="4">
        <v>0</v>
      </c>
    </row>
    <row r="571" spans="1:9" x14ac:dyDescent="0.2">
      <c r="A571" s="2">
        <v>8</v>
      </c>
      <c r="B571" s="1" t="s">
        <v>81</v>
      </c>
      <c r="C571" s="4">
        <v>82</v>
      </c>
      <c r="D571" s="8">
        <v>4.7300000000000004</v>
      </c>
      <c r="E571" s="4">
        <v>64</v>
      </c>
      <c r="F571" s="8">
        <v>6.51</v>
      </c>
      <c r="G571" s="4">
        <v>18</v>
      </c>
      <c r="H571" s="8">
        <v>2.4300000000000002</v>
      </c>
      <c r="I571" s="4">
        <v>0</v>
      </c>
    </row>
    <row r="572" spans="1:9" x14ac:dyDescent="0.2">
      <c r="A572" s="2">
        <v>9</v>
      </c>
      <c r="B572" s="1" t="s">
        <v>75</v>
      </c>
      <c r="C572" s="4">
        <v>65</v>
      </c>
      <c r="D572" s="8">
        <v>3.75</v>
      </c>
      <c r="E572" s="4">
        <v>24</v>
      </c>
      <c r="F572" s="8">
        <v>2.44</v>
      </c>
      <c r="G572" s="4">
        <v>41</v>
      </c>
      <c r="H572" s="8">
        <v>5.53</v>
      </c>
      <c r="I572" s="4">
        <v>0</v>
      </c>
    </row>
    <row r="573" spans="1:9" x14ac:dyDescent="0.2">
      <c r="A573" s="2">
        <v>10</v>
      </c>
      <c r="B573" s="1" t="s">
        <v>86</v>
      </c>
      <c r="C573" s="4">
        <v>47</v>
      </c>
      <c r="D573" s="8">
        <v>2.71</v>
      </c>
      <c r="E573" s="4">
        <v>36</v>
      </c>
      <c r="F573" s="8">
        <v>3.66</v>
      </c>
      <c r="G573" s="4">
        <v>11</v>
      </c>
      <c r="H573" s="8">
        <v>1.48</v>
      </c>
      <c r="I573" s="4">
        <v>0</v>
      </c>
    </row>
    <row r="574" spans="1:9" x14ac:dyDescent="0.2">
      <c r="A574" s="2">
        <v>11</v>
      </c>
      <c r="B574" s="1" t="s">
        <v>82</v>
      </c>
      <c r="C574" s="4">
        <v>46</v>
      </c>
      <c r="D574" s="8">
        <v>2.65</v>
      </c>
      <c r="E574" s="4">
        <v>32</v>
      </c>
      <c r="F574" s="8">
        <v>3.26</v>
      </c>
      <c r="G574" s="4">
        <v>14</v>
      </c>
      <c r="H574" s="8">
        <v>1.89</v>
      </c>
      <c r="I574" s="4">
        <v>0</v>
      </c>
    </row>
    <row r="575" spans="1:9" x14ac:dyDescent="0.2">
      <c r="A575" s="2">
        <v>12</v>
      </c>
      <c r="B575" s="1" t="s">
        <v>92</v>
      </c>
      <c r="C575" s="4">
        <v>44</v>
      </c>
      <c r="D575" s="8">
        <v>2.54</v>
      </c>
      <c r="E575" s="4">
        <v>40</v>
      </c>
      <c r="F575" s="8">
        <v>4.07</v>
      </c>
      <c r="G575" s="4">
        <v>4</v>
      </c>
      <c r="H575" s="8">
        <v>0.54</v>
      </c>
      <c r="I575" s="4">
        <v>0</v>
      </c>
    </row>
    <row r="576" spans="1:9" x14ac:dyDescent="0.2">
      <c r="A576" s="2">
        <v>13</v>
      </c>
      <c r="B576" s="1" t="s">
        <v>80</v>
      </c>
      <c r="C576" s="4">
        <v>40</v>
      </c>
      <c r="D576" s="8">
        <v>2.31</v>
      </c>
      <c r="E576" s="4">
        <v>29</v>
      </c>
      <c r="F576" s="8">
        <v>2.95</v>
      </c>
      <c r="G576" s="4">
        <v>11</v>
      </c>
      <c r="H576" s="8">
        <v>1.48</v>
      </c>
      <c r="I576" s="4">
        <v>0</v>
      </c>
    </row>
    <row r="577" spans="1:9" x14ac:dyDescent="0.2">
      <c r="A577" s="2">
        <v>14</v>
      </c>
      <c r="B577" s="1" t="s">
        <v>87</v>
      </c>
      <c r="C577" s="4">
        <v>38</v>
      </c>
      <c r="D577" s="8">
        <v>2.19</v>
      </c>
      <c r="E577" s="4">
        <v>13</v>
      </c>
      <c r="F577" s="8">
        <v>1.32</v>
      </c>
      <c r="G577" s="4">
        <v>25</v>
      </c>
      <c r="H577" s="8">
        <v>3.37</v>
      </c>
      <c r="I577" s="4">
        <v>0</v>
      </c>
    </row>
    <row r="578" spans="1:9" x14ac:dyDescent="0.2">
      <c r="A578" s="2">
        <v>15</v>
      </c>
      <c r="B578" s="1" t="s">
        <v>90</v>
      </c>
      <c r="C578" s="4">
        <v>28</v>
      </c>
      <c r="D578" s="8">
        <v>1.61</v>
      </c>
      <c r="E578" s="4">
        <v>20</v>
      </c>
      <c r="F578" s="8">
        <v>2.0299999999999998</v>
      </c>
      <c r="G578" s="4">
        <v>8</v>
      </c>
      <c r="H578" s="8">
        <v>1.08</v>
      </c>
      <c r="I578" s="4">
        <v>0</v>
      </c>
    </row>
    <row r="579" spans="1:9" x14ac:dyDescent="0.2">
      <c r="A579" s="2">
        <v>16</v>
      </c>
      <c r="B579" s="1" t="s">
        <v>84</v>
      </c>
      <c r="C579" s="4">
        <v>27</v>
      </c>
      <c r="D579" s="8">
        <v>1.56</v>
      </c>
      <c r="E579" s="4">
        <v>10</v>
      </c>
      <c r="F579" s="8">
        <v>1.02</v>
      </c>
      <c r="G579" s="4">
        <v>17</v>
      </c>
      <c r="H579" s="8">
        <v>2.29</v>
      </c>
      <c r="I579" s="4">
        <v>0</v>
      </c>
    </row>
    <row r="580" spans="1:9" x14ac:dyDescent="0.2">
      <c r="A580" s="2">
        <v>17</v>
      </c>
      <c r="B580" s="1" t="s">
        <v>97</v>
      </c>
      <c r="C580" s="4">
        <v>22</v>
      </c>
      <c r="D580" s="8">
        <v>1.27</v>
      </c>
      <c r="E580" s="4">
        <v>8</v>
      </c>
      <c r="F580" s="8">
        <v>0.81</v>
      </c>
      <c r="G580" s="4">
        <v>14</v>
      </c>
      <c r="H580" s="8">
        <v>1.89</v>
      </c>
      <c r="I580" s="4">
        <v>0</v>
      </c>
    </row>
    <row r="581" spans="1:9" x14ac:dyDescent="0.2">
      <c r="A581" s="2">
        <v>18</v>
      </c>
      <c r="B581" s="1" t="s">
        <v>77</v>
      </c>
      <c r="C581" s="4">
        <v>21</v>
      </c>
      <c r="D581" s="8">
        <v>1.21</v>
      </c>
      <c r="E581" s="4">
        <v>6</v>
      </c>
      <c r="F581" s="8">
        <v>0.61</v>
      </c>
      <c r="G581" s="4">
        <v>15</v>
      </c>
      <c r="H581" s="8">
        <v>2.02</v>
      </c>
      <c r="I581" s="4">
        <v>0</v>
      </c>
    </row>
    <row r="582" spans="1:9" x14ac:dyDescent="0.2">
      <c r="A582" s="2">
        <v>19</v>
      </c>
      <c r="B582" s="1" t="s">
        <v>106</v>
      </c>
      <c r="C582" s="4">
        <v>19</v>
      </c>
      <c r="D582" s="8">
        <v>1.1000000000000001</v>
      </c>
      <c r="E582" s="4">
        <v>4</v>
      </c>
      <c r="F582" s="8">
        <v>0.41</v>
      </c>
      <c r="G582" s="4">
        <v>14</v>
      </c>
      <c r="H582" s="8">
        <v>1.89</v>
      </c>
      <c r="I582" s="4">
        <v>0</v>
      </c>
    </row>
    <row r="583" spans="1:9" x14ac:dyDescent="0.2">
      <c r="A583" s="2">
        <v>19</v>
      </c>
      <c r="B583" s="1" t="s">
        <v>104</v>
      </c>
      <c r="C583" s="4">
        <v>19</v>
      </c>
      <c r="D583" s="8">
        <v>1.1000000000000001</v>
      </c>
      <c r="E583" s="4">
        <v>12</v>
      </c>
      <c r="F583" s="8">
        <v>1.22</v>
      </c>
      <c r="G583" s="4">
        <v>7</v>
      </c>
      <c r="H583" s="8">
        <v>0.94</v>
      </c>
      <c r="I583" s="4">
        <v>0</v>
      </c>
    </row>
    <row r="584" spans="1:9" x14ac:dyDescent="0.2">
      <c r="A584" s="1"/>
      <c r="C584" s="4"/>
      <c r="D584" s="8"/>
      <c r="E584" s="4"/>
      <c r="F584" s="8"/>
      <c r="G584" s="4"/>
      <c r="H584" s="8"/>
      <c r="I584" s="4"/>
    </row>
    <row r="585" spans="1:9" x14ac:dyDescent="0.2">
      <c r="A585" s="1" t="s">
        <v>26</v>
      </c>
      <c r="C585" s="4"/>
      <c r="D585" s="8"/>
      <c r="E585" s="4"/>
      <c r="F585" s="8"/>
      <c r="G585" s="4"/>
      <c r="H585" s="8"/>
      <c r="I585" s="4"/>
    </row>
    <row r="586" spans="1:9" x14ac:dyDescent="0.2">
      <c r="A586" s="2">
        <v>1</v>
      </c>
      <c r="B586" s="1" t="s">
        <v>89</v>
      </c>
      <c r="C586" s="4">
        <v>237</v>
      </c>
      <c r="D586" s="8">
        <v>10.93</v>
      </c>
      <c r="E586" s="4">
        <v>188</v>
      </c>
      <c r="F586" s="8">
        <v>18.059999999999999</v>
      </c>
      <c r="G586" s="4">
        <v>49</v>
      </c>
      <c r="H586" s="8">
        <v>4.3899999999999997</v>
      </c>
      <c r="I586" s="4">
        <v>0</v>
      </c>
    </row>
    <row r="587" spans="1:9" x14ac:dyDescent="0.2">
      <c r="A587" s="2">
        <v>2</v>
      </c>
      <c r="B587" s="1" t="s">
        <v>85</v>
      </c>
      <c r="C587" s="4">
        <v>223</v>
      </c>
      <c r="D587" s="8">
        <v>10.28</v>
      </c>
      <c r="E587" s="4">
        <v>60</v>
      </c>
      <c r="F587" s="8">
        <v>5.76</v>
      </c>
      <c r="G587" s="4">
        <v>162</v>
      </c>
      <c r="H587" s="8">
        <v>14.53</v>
      </c>
      <c r="I587" s="4">
        <v>1</v>
      </c>
    </row>
    <row r="588" spans="1:9" x14ac:dyDescent="0.2">
      <c r="A588" s="2">
        <v>2</v>
      </c>
      <c r="B588" s="1" t="s">
        <v>88</v>
      </c>
      <c r="C588" s="4">
        <v>223</v>
      </c>
      <c r="D588" s="8">
        <v>10.28</v>
      </c>
      <c r="E588" s="4">
        <v>194</v>
      </c>
      <c r="F588" s="8">
        <v>18.64</v>
      </c>
      <c r="G588" s="4">
        <v>29</v>
      </c>
      <c r="H588" s="8">
        <v>2.6</v>
      </c>
      <c r="I588" s="4">
        <v>0</v>
      </c>
    </row>
    <row r="589" spans="1:9" x14ac:dyDescent="0.2">
      <c r="A589" s="2">
        <v>4</v>
      </c>
      <c r="B589" s="1" t="s">
        <v>83</v>
      </c>
      <c r="C589" s="4">
        <v>136</v>
      </c>
      <c r="D589" s="8">
        <v>6.27</v>
      </c>
      <c r="E589" s="4">
        <v>74</v>
      </c>
      <c r="F589" s="8">
        <v>7.11</v>
      </c>
      <c r="G589" s="4">
        <v>60</v>
      </c>
      <c r="H589" s="8">
        <v>5.38</v>
      </c>
      <c r="I589" s="4">
        <v>2</v>
      </c>
    </row>
    <row r="590" spans="1:9" x14ac:dyDescent="0.2">
      <c r="A590" s="2">
        <v>5</v>
      </c>
      <c r="B590" s="1" t="s">
        <v>74</v>
      </c>
      <c r="C590" s="4">
        <v>128</v>
      </c>
      <c r="D590" s="8">
        <v>5.9</v>
      </c>
      <c r="E590" s="4">
        <v>25</v>
      </c>
      <c r="F590" s="8">
        <v>2.4</v>
      </c>
      <c r="G590" s="4">
        <v>103</v>
      </c>
      <c r="H590" s="8">
        <v>9.24</v>
      </c>
      <c r="I590" s="4">
        <v>0</v>
      </c>
    </row>
    <row r="591" spans="1:9" x14ac:dyDescent="0.2">
      <c r="A591" s="2">
        <v>6</v>
      </c>
      <c r="B591" s="1" t="s">
        <v>91</v>
      </c>
      <c r="C591" s="4">
        <v>121</v>
      </c>
      <c r="D591" s="8">
        <v>5.58</v>
      </c>
      <c r="E591" s="4">
        <v>76</v>
      </c>
      <c r="F591" s="8">
        <v>7.3</v>
      </c>
      <c r="G591" s="4">
        <v>42</v>
      </c>
      <c r="H591" s="8">
        <v>3.77</v>
      </c>
      <c r="I591" s="4">
        <v>0</v>
      </c>
    </row>
    <row r="592" spans="1:9" x14ac:dyDescent="0.2">
      <c r="A592" s="2">
        <v>7</v>
      </c>
      <c r="B592" s="1" t="s">
        <v>82</v>
      </c>
      <c r="C592" s="4">
        <v>89</v>
      </c>
      <c r="D592" s="8">
        <v>4.0999999999999996</v>
      </c>
      <c r="E592" s="4">
        <v>53</v>
      </c>
      <c r="F592" s="8">
        <v>5.09</v>
      </c>
      <c r="G592" s="4">
        <v>36</v>
      </c>
      <c r="H592" s="8">
        <v>3.23</v>
      </c>
      <c r="I592" s="4">
        <v>0</v>
      </c>
    </row>
    <row r="593" spans="1:9" x14ac:dyDescent="0.2">
      <c r="A593" s="2">
        <v>8</v>
      </c>
      <c r="B593" s="1" t="s">
        <v>81</v>
      </c>
      <c r="C593" s="4">
        <v>87</v>
      </c>
      <c r="D593" s="8">
        <v>4.01</v>
      </c>
      <c r="E593" s="4">
        <v>62</v>
      </c>
      <c r="F593" s="8">
        <v>5.96</v>
      </c>
      <c r="G593" s="4">
        <v>25</v>
      </c>
      <c r="H593" s="8">
        <v>2.2400000000000002</v>
      </c>
      <c r="I593" s="4">
        <v>0</v>
      </c>
    </row>
    <row r="594" spans="1:9" x14ac:dyDescent="0.2">
      <c r="A594" s="2">
        <v>9</v>
      </c>
      <c r="B594" s="1" t="s">
        <v>92</v>
      </c>
      <c r="C594" s="4">
        <v>83</v>
      </c>
      <c r="D594" s="8">
        <v>3.83</v>
      </c>
      <c r="E594" s="4">
        <v>67</v>
      </c>
      <c r="F594" s="8">
        <v>6.44</v>
      </c>
      <c r="G594" s="4">
        <v>15</v>
      </c>
      <c r="H594" s="8">
        <v>1.35</v>
      </c>
      <c r="I594" s="4">
        <v>1</v>
      </c>
    </row>
    <row r="595" spans="1:9" x14ac:dyDescent="0.2">
      <c r="A595" s="2">
        <v>10</v>
      </c>
      <c r="B595" s="1" t="s">
        <v>86</v>
      </c>
      <c r="C595" s="4">
        <v>74</v>
      </c>
      <c r="D595" s="8">
        <v>3.41</v>
      </c>
      <c r="E595" s="4">
        <v>40</v>
      </c>
      <c r="F595" s="8">
        <v>3.84</v>
      </c>
      <c r="G595" s="4">
        <v>34</v>
      </c>
      <c r="H595" s="8">
        <v>3.05</v>
      </c>
      <c r="I595" s="4">
        <v>0</v>
      </c>
    </row>
    <row r="596" spans="1:9" x14ac:dyDescent="0.2">
      <c r="A596" s="2">
        <v>11</v>
      </c>
      <c r="B596" s="1" t="s">
        <v>76</v>
      </c>
      <c r="C596" s="4">
        <v>63</v>
      </c>
      <c r="D596" s="8">
        <v>2.9</v>
      </c>
      <c r="E596" s="4">
        <v>15</v>
      </c>
      <c r="F596" s="8">
        <v>1.44</v>
      </c>
      <c r="G596" s="4">
        <v>48</v>
      </c>
      <c r="H596" s="8">
        <v>4.3</v>
      </c>
      <c r="I596" s="4">
        <v>0</v>
      </c>
    </row>
    <row r="597" spans="1:9" x14ac:dyDescent="0.2">
      <c r="A597" s="2">
        <v>12</v>
      </c>
      <c r="B597" s="1" t="s">
        <v>75</v>
      </c>
      <c r="C597" s="4">
        <v>56</v>
      </c>
      <c r="D597" s="8">
        <v>2.58</v>
      </c>
      <c r="E597" s="4">
        <v>13</v>
      </c>
      <c r="F597" s="8">
        <v>1.25</v>
      </c>
      <c r="G597" s="4">
        <v>43</v>
      </c>
      <c r="H597" s="8">
        <v>3.86</v>
      </c>
      <c r="I597" s="4">
        <v>0</v>
      </c>
    </row>
    <row r="598" spans="1:9" x14ac:dyDescent="0.2">
      <c r="A598" s="2">
        <v>13</v>
      </c>
      <c r="B598" s="1" t="s">
        <v>80</v>
      </c>
      <c r="C598" s="4">
        <v>45</v>
      </c>
      <c r="D598" s="8">
        <v>2.0699999999999998</v>
      </c>
      <c r="E598" s="4">
        <v>16</v>
      </c>
      <c r="F598" s="8">
        <v>1.54</v>
      </c>
      <c r="G598" s="4">
        <v>29</v>
      </c>
      <c r="H598" s="8">
        <v>2.6</v>
      </c>
      <c r="I598" s="4">
        <v>0</v>
      </c>
    </row>
    <row r="599" spans="1:9" x14ac:dyDescent="0.2">
      <c r="A599" s="2">
        <v>14</v>
      </c>
      <c r="B599" s="1" t="s">
        <v>87</v>
      </c>
      <c r="C599" s="4">
        <v>43</v>
      </c>
      <c r="D599" s="8">
        <v>1.98</v>
      </c>
      <c r="E599" s="4">
        <v>17</v>
      </c>
      <c r="F599" s="8">
        <v>1.63</v>
      </c>
      <c r="G599" s="4">
        <v>26</v>
      </c>
      <c r="H599" s="8">
        <v>2.33</v>
      </c>
      <c r="I599" s="4">
        <v>0</v>
      </c>
    </row>
    <row r="600" spans="1:9" x14ac:dyDescent="0.2">
      <c r="A600" s="2">
        <v>14</v>
      </c>
      <c r="B600" s="1" t="s">
        <v>90</v>
      </c>
      <c r="C600" s="4">
        <v>43</v>
      </c>
      <c r="D600" s="8">
        <v>1.98</v>
      </c>
      <c r="E600" s="4">
        <v>17</v>
      </c>
      <c r="F600" s="8">
        <v>1.63</v>
      </c>
      <c r="G600" s="4">
        <v>26</v>
      </c>
      <c r="H600" s="8">
        <v>2.33</v>
      </c>
      <c r="I600" s="4">
        <v>0</v>
      </c>
    </row>
    <row r="601" spans="1:9" x14ac:dyDescent="0.2">
      <c r="A601" s="2">
        <v>16</v>
      </c>
      <c r="B601" s="1" t="s">
        <v>84</v>
      </c>
      <c r="C601" s="4">
        <v>38</v>
      </c>
      <c r="D601" s="8">
        <v>1.75</v>
      </c>
      <c r="E601" s="4">
        <v>10</v>
      </c>
      <c r="F601" s="8">
        <v>0.96</v>
      </c>
      <c r="G601" s="4">
        <v>28</v>
      </c>
      <c r="H601" s="8">
        <v>2.5099999999999998</v>
      </c>
      <c r="I601" s="4">
        <v>0</v>
      </c>
    </row>
    <row r="602" spans="1:9" x14ac:dyDescent="0.2">
      <c r="A602" s="2">
        <v>17</v>
      </c>
      <c r="B602" s="1" t="s">
        <v>93</v>
      </c>
      <c r="C602" s="4">
        <v>36</v>
      </c>
      <c r="D602" s="8">
        <v>1.66</v>
      </c>
      <c r="E602" s="4">
        <v>1</v>
      </c>
      <c r="F602" s="8">
        <v>0.1</v>
      </c>
      <c r="G602" s="4">
        <v>34</v>
      </c>
      <c r="H602" s="8">
        <v>3.05</v>
      </c>
      <c r="I602" s="4">
        <v>0</v>
      </c>
    </row>
    <row r="603" spans="1:9" x14ac:dyDescent="0.2">
      <c r="A603" s="2">
        <v>18</v>
      </c>
      <c r="B603" s="1" t="s">
        <v>97</v>
      </c>
      <c r="C603" s="4">
        <v>32</v>
      </c>
      <c r="D603" s="8">
        <v>1.48</v>
      </c>
      <c r="E603" s="4">
        <v>3</v>
      </c>
      <c r="F603" s="8">
        <v>0.28999999999999998</v>
      </c>
      <c r="G603" s="4">
        <v>29</v>
      </c>
      <c r="H603" s="8">
        <v>2.6</v>
      </c>
      <c r="I603" s="4">
        <v>0</v>
      </c>
    </row>
    <row r="604" spans="1:9" x14ac:dyDescent="0.2">
      <c r="A604" s="2">
        <v>18</v>
      </c>
      <c r="B604" s="1" t="s">
        <v>79</v>
      </c>
      <c r="C604" s="4">
        <v>32</v>
      </c>
      <c r="D604" s="8">
        <v>1.48</v>
      </c>
      <c r="E604" s="4">
        <v>8</v>
      </c>
      <c r="F604" s="8">
        <v>0.77</v>
      </c>
      <c r="G604" s="4">
        <v>24</v>
      </c>
      <c r="H604" s="8">
        <v>2.15</v>
      </c>
      <c r="I604" s="4">
        <v>0</v>
      </c>
    </row>
    <row r="605" spans="1:9" x14ac:dyDescent="0.2">
      <c r="A605" s="2">
        <v>20</v>
      </c>
      <c r="B605" s="1" t="s">
        <v>78</v>
      </c>
      <c r="C605" s="4">
        <v>30</v>
      </c>
      <c r="D605" s="8">
        <v>1.38</v>
      </c>
      <c r="E605" s="4">
        <v>3</v>
      </c>
      <c r="F605" s="8">
        <v>0.28999999999999998</v>
      </c>
      <c r="G605" s="4">
        <v>27</v>
      </c>
      <c r="H605" s="8">
        <v>2.42</v>
      </c>
      <c r="I605" s="4">
        <v>0</v>
      </c>
    </row>
    <row r="606" spans="1:9" x14ac:dyDescent="0.2">
      <c r="A606" s="1"/>
      <c r="C606" s="4"/>
      <c r="D606" s="8"/>
      <c r="E606" s="4"/>
      <c r="F606" s="8"/>
      <c r="G606" s="4"/>
      <c r="H606" s="8"/>
      <c r="I606" s="4"/>
    </row>
    <row r="607" spans="1:9" x14ac:dyDescent="0.2">
      <c r="A607" s="1" t="s">
        <v>27</v>
      </c>
      <c r="C607" s="4"/>
      <c r="D607" s="8"/>
      <c r="E607" s="4"/>
      <c r="F607" s="8"/>
      <c r="G607" s="4"/>
      <c r="H607" s="8"/>
      <c r="I607" s="4"/>
    </row>
    <row r="608" spans="1:9" x14ac:dyDescent="0.2">
      <c r="A608" s="2">
        <v>1</v>
      </c>
      <c r="B608" s="1" t="s">
        <v>77</v>
      </c>
      <c r="C608" s="4">
        <v>113</v>
      </c>
      <c r="D608" s="8">
        <v>9.57</v>
      </c>
      <c r="E608" s="4">
        <v>84</v>
      </c>
      <c r="F608" s="8">
        <v>11.86</v>
      </c>
      <c r="G608" s="4">
        <v>29</v>
      </c>
      <c r="H608" s="8">
        <v>6.33</v>
      </c>
      <c r="I608" s="4">
        <v>0</v>
      </c>
    </row>
    <row r="609" spans="1:9" x14ac:dyDescent="0.2">
      <c r="A609" s="2">
        <v>2</v>
      </c>
      <c r="B609" s="1" t="s">
        <v>88</v>
      </c>
      <c r="C609" s="4">
        <v>108</v>
      </c>
      <c r="D609" s="8">
        <v>9.14</v>
      </c>
      <c r="E609" s="4">
        <v>101</v>
      </c>
      <c r="F609" s="8">
        <v>14.27</v>
      </c>
      <c r="G609" s="4">
        <v>6</v>
      </c>
      <c r="H609" s="8">
        <v>1.31</v>
      </c>
      <c r="I609" s="4">
        <v>1</v>
      </c>
    </row>
    <row r="610" spans="1:9" x14ac:dyDescent="0.2">
      <c r="A610" s="2">
        <v>3</v>
      </c>
      <c r="B610" s="1" t="s">
        <v>89</v>
      </c>
      <c r="C610" s="4">
        <v>86</v>
      </c>
      <c r="D610" s="8">
        <v>7.28</v>
      </c>
      <c r="E610" s="4">
        <v>73</v>
      </c>
      <c r="F610" s="8">
        <v>10.31</v>
      </c>
      <c r="G610" s="4">
        <v>13</v>
      </c>
      <c r="H610" s="8">
        <v>2.84</v>
      </c>
      <c r="I610" s="4">
        <v>0</v>
      </c>
    </row>
    <row r="611" spans="1:9" x14ac:dyDescent="0.2">
      <c r="A611" s="2">
        <v>4</v>
      </c>
      <c r="B611" s="1" t="s">
        <v>83</v>
      </c>
      <c r="C611" s="4">
        <v>82</v>
      </c>
      <c r="D611" s="8">
        <v>6.94</v>
      </c>
      <c r="E611" s="4">
        <v>48</v>
      </c>
      <c r="F611" s="8">
        <v>6.78</v>
      </c>
      <c r="G611" s="4">
        <v>34</v>
      </c>
      <c r="H611" s="8">
        <v>7.42</v>
      </c>
      <c r="I611" s="4">
        <v>0</v>
      </c>
    </row>
    <row r="612" spans="1:9" x14ac:dyDescent="0.2">
      <c r="A612" s="2">
        <v>5</v>
      </c>
      <c r="B612" s="1" t="s">
        <v>74</v>
      </c>
      <c r="C612" s="4">
        <v>72</v>
      </c>
      <c r="D612" s="8">
        <v>6.1</v>
      </c>
      <c r="E612" s="4">
        <v>26</v>
      </c>
      <c r="F612" s="8">
        <v>3.67</v>
      </c>
      <c r="G612" s="4">
        <v>46</v>
      </c>
      <c r="H612" s="8">
        <v>10.039999999999999</v>
      </c>
      <c r="I612" s="4">
        <v>0</v>
      </c>
    </row>
    <row r="613" spans="1:9" x14ac:dyDescent="0.2">
      <c r="A613" s="2">
        <v>6</v>
      </c>
      <c r="B613" s="1" t="s">
        <v>85</v>
      </c>
      <c r="C613" s="4">
        <v>57</v>
      </c>
      <c r="D613" s="8">
        <v>4.83</v>
      </c>
      <c r="E613" s="4">
        <v>25</v>
      </c>
      <c r="F613" s="8">
        <v>3.53</v>
      </c>
      <c r="G613" s="4">
        <v>32</v>
      </c>
      <c r="H613" s="8">
        <v>6.99</v>
      </c>
      <c r="I613" s="4">
        <v>0</v>
      </c>
    </row>
    <row r="614" spans="1:9" x14ac:dyDescent="0.2">
      <c r="A614" s="2">
        <v>7</v>
      </c>
      <c r="B614" s="1" t="s">
        <v>82</v>
      </c>
      <c r="C614" s="4">
        <v>46</v>
      </c>
      <c r="D614" s="8">
        <v>3.9</v>
      </c>
      <c r="E614" s="4">
        <v>33</v>
      </c>
      <c r="F614" s="8">
        <v>4.66</v>
      </c>
      <c r="G614" s="4">
        <v>13</v>
      </c>
      <c r="H614" s="8">
        <v>2.84</v>
      </c>
      <c r="I614" s="4">
        <v>0</v>
      </c>
    </row>
    <row r="615" spans="1:9" x14ac:dyDescent="0.2">
      <c r="A615" s="2">
        <v>8</v>
      </c>
      <c r="B615" s="1" t="s">
        <v>81</v>
      </c>
      <c r="C615" s="4">
        <v>40</v>
      </c>
      <c r="D615" s="8">
        <v>3.39</v>
      </c>
      <c r="E615" s="4">
        <v>30</v>
      </c>
      <c r="F615" s="8">
        <v>4.24</v>
      </c>
      <c r="G615" s="4">
        <v>9</v>
      </c>
      <c r="H615" s="8">
        <v>1.97</v>
      </c>
      <c r="I615" s="4">
        <v>1</v>
      </c>
    </row>
    <row r="616" spans="1:9" x14ac:dyDescent="0.2">
      <c r="A616" s="2">
        <v>9</v>
      </c>
      <c r="B616" s="1" t="s">
        <v>75</v>
      </c>
      <c r="C616" s="4">
        <v>37</v>
      </c>
      <c r="D616" s="8">
        <v>3.13</v>
      </c>
      <c r="E616" s="4">
        <v>20</v>
      </c>
      <c r="F616" s="8">
        <v>2.82</v>
      </c>
      <c r="G616" s="4">
        <v>17</v>
      </c>
      <c r="H616" s="8">
        <v>3.71</v>
      </c>
      <c r="I616" s="4">
        <v>0</v>
      </c>
    </row>
    <row r="617" spans="1:9" x14ac:dyDescent="0.2">
      <c r="A617" s="2">
        <v>9</v>
      </c>
      <c r="B617" s="1" t="s">
        <v>79</v>
      </c>
      <c r="C617" s="4">
        <v>37</v>
      </c>
      <c r="D617" s="8">
        <v>3.13</v>
      </c>
      <c r="E617" s="4">
        <v>14</v>
      </c>
      <c r="F617" s="8">
        <v>1.98</v>
      </c>
      <c r="G617" s="4">
        <v>22</v>
      </c>
      <c r="H617" s="8">
        <v>4.8</v>
      </c>
      <c r="I617" s="4">
        <v>1</v>
      </c>
    </row>
    <row r="618" spans="1:9" x14ac:dyDescent="0.2">
      <c r="A618" s="2">
        <v>11</v>
      </c>
      <c r="B618" s="1" t="s">
        <v>91</v>
      </c>
      <c r="C618" s="4">
        <v>34</v>
      </c>
      <c r="D618" s="8">
        <v>2.88</v>
      </c>
      <c r="E618" s="4">
        <v>25</v>
      </c>
      <c r="F618" s="8">
        <v>3.53</v>
      </c>
      <c r="G618" s="4">
        <v>7</v>
      </c>
      <c r="H618" s="8">
        <v>1.53</v>
      </c>
      <c r="I618" s="4">
        <v>0</v>
      </c>
    </row>
    <row r="619" spans="1:9" x14ac:dyDescent="0.2">
      <c r="A619" s="2">
        <v>12</v>
      </c>
      <c r="B619" s="1" t="s">
        <v>76</v>
      </c>
      <c r="C619" s="4">
        <v>26</v>
      </c>
      <c r="D619" s="8">
        <v>2.2000000000000002</v>
      </c>
      <c r="E619" s="4">
        <v>14</v>
      </c>
      <c r="F619" s="8">
        <v>1.98</v>
      </c>
      <c r="G619" s="4">
        <v>12</v>
      </c>
      <c r="H619" s="8">
        <v>2.62</v>
      </c>
      <c r="I619" s="4">
        <v>0</v>
      </c>
    </row>
    <row r="620" spans="1:9" x14ac:dyDescent="0.2">
      <c r="A620" s="2">
        <v>13</v>
      </c>
      <c r="B620" s="1" t="s">
        <v>111</v>
      </c>
      <c r="C620" s="4">
        <v>25</v>
      </c>
      <c r="D620" s="8">
        <v>2.12</v>
      </c>
      <c r="E620" s="4">
        <v>19</v>
      </c>
      <c r="F620" s="8">
        <v>2.68</v>
      </c>
      <c r="G620" s="4">
        <v>6</v>
      </c>
      <c r="H620" s="8">
        <v>1.31</v>
      </c>
      <c r="I620" s="4">
        <v>0</v>
      </c>
    </row>
    <row r="621" spans="1:9" x14ac:dyDescent="0.2">
      <c r="A621" s="2">
        <v>13</v>
      </c>
      <c r="B621" s="1" t="s">
        <v>86</v>
      </c>
      <c r="C621" s="4">
        <v>25</v>
      </c>
      <c r="D621" s="8">
        <v>2.12</v>
      </c>
      <c r="E621" s="4">
        <v>18</v>
      </c>
      <c r="F621" s="8">
        <v>2.54</v>
      </c>
      <c r="G621" s="4">
        <v>7</v>
      </c>
      <c r="H621" s="8">
        <v>1.53</v>
      </c>
      <c r="I621" s="4">
        <v>0</v>
      </c>
    </row>
    <row r="622" spans="1:9" x14ac:dyDescent="0.2">
      <c r="A622" s="2">
        <v>13</v>
      </c>
      <c r="B622" s="1" t="s">
        <v>87</v>
      </c>
      <c r="C622" s="4">
        <v>25</v>
      </c>
      <c r="D622" s="8">
        <v>2.12</v>
      </c>
      <c r="E622" s="4">
        <v>19</v>
      </c>
      <c r="F622" s="8">
        <v>2.68</v>
      </c>
      <c r="G622" s="4">
        <v>5</v>
      </c>
      <c r="H622" s="8">
        <v>1.0900000000000001</v>
      </c>
      <c r="I622" s="4">
        <v>0</v>
      </c>
    </row>
    <row r="623" spans="1:9" x14ac:dyDescent="0.2">
      <c r="A623" s="2">
        <v>16</v>
      </c>
      <c r="B623" s="1" t="s">
        <v>97</v>
      </c>
      <c r="C623" s="4">
        <v>22</v>
      </c>
      <c r="D623" s="8">
        <v>1.86</v>
      </c>
      <c r="E623" s="4">
        <v>8</v>
      </c>
      <c r="F623" s="8">
        <v>1.1299999999999999</v>
      </c>
      <c r="G623" s="4">
        <v>14</v>
      </c>
      <c r="H623" s="8">
        <v>3.06</v>
      </c>
      <c r="I623" s="4">
        <v>0</v>
      </c>
    </row>
    <row r="624" spans="1:9" x14ac:dyDescent="0.2">
      <c r="A624" s="2">
        <v>16</v>
      </c>
      <c r="B624" s="1" t="s">
        <v>92</v>
      </c>
      <c r="C624" s="4">
        <v>22</v>
      </c>
      <c r="D624" s="8">
        <v>1.86</v>
      </c>
      <c r="E624" s="4">
        <v>21</v>
      </c>
      <c r="F624" s="8">
        <v>2.97</v>
      </c>
      <c r="G624" s="4">
        <v>1</v>
      </c>
      <c r="H624" s="8">
        <v>0.22</v>
      </c>
      <c r="I624" s="4">
        <v>0</v>
      </c>
    </row>
    <row r="625" spans="1:9" x14ac:dyDescent="0.2">
      <c r="A625" s="2">
        <v>18</v>
      </c>
      <c r="B625" s="1" t="s">
        <v>100</v>
      </c>
      <c r="C625" s="4">
        <v>20</v>
      </c>
      <c r="D625" s="8">
        <v>1.69</v>
      </c>
      <c r="E625" s="4">
        <v>8</v>
      </c>
      <c r="F625" s="8">
        <v>1.1299999999999999</v>
      </c>
      <c r="G625" s="4">
        <v>12</v>
      </c>
      <c r="H625" s="8">
        <v>2.62</v>
      </c>
      <c r="I625" s="4">
        <v>0</v>
      </c>
    </row>
    <row r="626" spans="1:9" x14ac:dyDescent="0.2">
      <c r="A626" s="2">
        <v>18</v>
      </c>
      <c r="B626" s="1" t="s">
        <v>80</v>
      </c>
      <c r="C626" s="4">
        <v>20</v>
      </c>
      <c r="D626" s="8">
        <v>1.69</v>
      </c>
      <c r="E626" s="4">
        <v>16</v>
      </c>
      <c r="F626" s="8">
        <v>2.2599999999999998</v>
      </c>
      <c r="G626" s="4">
        <v>4</v>
      </c>
      <c r="H626" s="8">
        <v>0.87</v>
      </c>
      <c r="I626" s="4">
        <v>0</v>
      </c>
    </row>
    <row r="627" spans="1:9" x14ac:dyDescent="0.2">
      <c r="A627" s="2">
        <v>20</v>
      </c>
      <c r="B627" s="1" t="s">
        <v>112</v>
      </c>
      <c r="C627" s="4">
        <v>19</v>
      </c>
      <c r="D627" s="8">
        <v>1.61</v>
      </c>
      <c r="E627" s="4">
        <v>14</v>
      </c>
      <c r="F627" s="8">
        <v>1.98</v>
      </c>
      <c r="G627" s="4">
        <v>5</v>
      </c>
      <c r="H627" s="8">
        <v>1.0900000000000001</v>
      </c>
      <c r="I627" s="4">
        <v>0</v>
      </c>
    </row>
    <row r="628" spans="1:9" x14ac:dyDescent="0.2">
      <c r="A628" s="1"/>
      <c r="C628" s="4"/>
      <c r="D628" s="8"/>
      <c r="E628" s="4"/>
      <c r="F628" s="8"/>
      <c r="G628" s="4"/>
      <c r="H628" s="8"/>
      <c r="I628" s="4"/>
    </row>
    <row r="629" spans="1:9" x14ac:dyDescent="0.2">
      <c r="A629" s="1" t="s">
        <v>28</v>
      </c>
      <c r="C629" s="4"/>
      <c r="D629" s="8"/>
      <c r="E629" s="4"/>
      <c r="F629" s="8"/>
      <c r="G629" s="4"/>
      <c r="H629" s="8"/>
      <c r="I629" s="4"/>
    </row>
    <row r="630" spans="1:9" x14ac:dyDescent="0.2">
      <c r="A630" s="2">
        <v>1</v>
      </c>
      <c r="B630" s="1" t="s">
        <v>89</v>
      </c>
      <c r="C630" s="4">
        <v>133</v>
      </c>
      <c r="D630" s="8">
        <v>10.17</v>
      </c>
      <c r="E630" s="4">
        <v>101</v>
      </c>
      <c r="F630" s="8">
        <v>18.57</v>
      </c>
      <c r="G630" s="4">
        <v>32</v>
      </c>
      <c r="H630" s="8">
        <v>4.1900000000000004</v>
      </c>
      <c r="I630" s="4">
        <v>0</v>
      </c>
    </row>
    <row r="631" spans="1:9" x14ac:dyDescent="0.2">
      <c r="A631" s="2">
        <v>2</v>
      </c>
      <c r="B631" s="1" t="s">
        <v>88</v>
      </c>
      <c r="C631" s="4">
        <v>111</v>
      </c>
      <c r="D631" s="8">
        <v>8.49</v>
      </c>
      <c r="E631" s="4">
        <v>86</v>
      </c>
      <c r="F631" s="8">
        <v>15.81</v>
      </c>
      <c r="G631" s="4">
        <v>25</v>
      </c>
      <c r="H631" s="8">
        <v>3.28</v>
      </c>
      <c r="I631" s="4">
        <v>0</v>
      </c>
    </row>
    <row r="632" spans="1:9" x14ac:dyDescent="0.2">
      <c r="A632" s="2">
        <v>3</v>
      </c>
      <c r="B632" s="1" t="s">
        <v>85</v>
      </c>
      <c r="C632" s="4">
        <v>108</v>
      </c>
      <c r="D632" s="8">
        <v>8.26</v>
      </c>
      <c r="E632" s="4">
        <v>13</v>
      </c>
      <c r="F632" s="8">
        <v>2.39</v>
      </c>
      <c r="G632" s="4">
        <v>95</v>
      </c>
      <c r="H632" s="8">
        <v>12.45</v>
      </c>
      <c r="I632" s="4">
        <v>0</v>
      </c>
    </row>
    <row r="633" spans="1:9" x14ac:dyDescent="0.2">
      <c r="A633" s="2">
        <v>4</v>
      </c>
      <c r="B633" s="1" t="s">
        <v>83</v>
      </c>
      <c r="C633" s="4">
        <v>103</v>
      </c>
      <c r="D633" s="8">
        <v>7.87</v>
      </c>
      <c r="E633" s="4">
        <v>55</v>
      </c>
      <c r="F633" s="8">
        <v>10.11</v>
      </c>
      <c r="G633" s="4">
        <v>48</v>
      </c>
      <c r="H633" s="8">
        <v>6.29</v>
      </c>
      <c r="I633" s="4">
        <v>0</v>
      </c>
    </row>
    <row r="634" spans="1:9" x14ac:dyDescent="0.2">
      <c r="A634" s="2">
        <v>5</v>
      </c>
      <c r="B634" s="1" t="s">
        <v>74</v>
      </c>
      <c r="C634" s="4">
        <v>98</v>
      </c>
      <c r="D634" s="8">
        <v>7.49</v>
      </c>
      <c r="E634" s="4">
        <v>10</v>
      </c>
      <c r="F634" s="8">
        <v>1.84</v>
      </c>
      <c r="G634" s="4">
        <v>88</v>
      </c>
      <c r="H634" s="8">
        <v>11.53</v>
      </c>
      <c r="I634" s="4">
        <v>0</v>
      </c>
    </row>
    <row r="635" spans="1:9" x14ac:dyDescent="0.2">
      <c r="A635" s="2">
        <v>6</v>
      </c>
      <c r="B635" s="1" t="s">
        <v>81</v>
      </c>
      <c r="C635" s="4">
        <v>58</v>
      </c>
      <c r="D635" s="8">
        <v>4.43</v>
      </c>
      <c r="E635" s="4">
        <v>42</v>
      </c>
      <c r="F635" s="8">
        <v>7.72</v>
      </c>
      <c r="G635" s="4">
        <v>16</v>
      </c>
      <c r="H635" s="8">
        <v>2.1</v>
      </c>
      <c r="I635" s="4">
        <v>0</v>
      </c>
    </row>
    <row r="636" spans="1:9" x14ac:dyDescent="0.2">
      <c r="A636" s="2">
        <v>6</v>
      </c>
      <c r="B636" s="1" t="s">
        <v>86</v>
      </c>
      <c r="C636" s="4">
        <v>58</v>
      </c>
      <c r="D636" s="8">
        <v>4.43</v>
      </c>
      <c r="E636" s="4">
        <v>36</v>
      </c>
      <c r="F636" s="8">
        <v>6.62</v>
      </c>
      <c r="G636" s="4">
        <v>22</v>
      </c>
      <c r="H636" s="8">
        <v>2.88</v>
      </c>
      <c r="I636" s="4">
        <v>0</v>
      </c>
    </row>
    <row r="637" spans="1:9" x14ac:dyDescent="0.2">
      <c r="A637" s="2">
        <v>6</v>
      </c>
      <c r="B637" s="1" t="s">
        <v>91</v>
      </c>
      <c r="C637" s="4">
        <v>58</v>
      </c>
      <c r="D637" s="8">
        <v>4.43</v>
      </c>
      <c r="E637" s="4">
        <v>34</v>
      </c>
      <c r="F637" s="8">
        <v>6.25</v>
      </c>
      <c r="G637" s="4">
        <v>23</v>
      </c>
      <c r="H637" s="8">
        <v>3.01</v>
      </c>
      <c r="I637" s="4">
        <v>0</v>
      </c>
    </row>
    <row r="638" spans="1:9" x14ac:dyDescent="0.2">
      <c r="A638" s="2">
        <v>9</v>
      </c>
      <c r="B638" s="1" t="s">
        <v>82</v>
      </c>
      <c r="C638" s="4">
        <v>44</v>
      </c>
      <c r="D638" s="8">
        <v>3.36</v>
      </c>
      <c r="E638" s="4">
        <v>24</v>
      </c>
      <c r="F638" s="8">
        <v>4.41</v>
      </c>
      <c r="G638" s="4">
        <v>20</v>
      </c>
      <c r="H638" s="8">
        <v>2.62</v>
      </c>
      <c r="I638" s="4">
        <v>0</v>
      </c>
    </row>
    <row r="639" spans="1:9" x14ac:dyDescent="0.2">
      <c r="A639" s="2">
        <v>10</v>
      </c>
      <c r="B639" s="1" t="s">
        <v>76</v>
      </c>
      <c r="C639" s="4">
        <v>42</v>
      </c>
      <c r="D639" s="8">
        <v>3.21</v>
      </c>
      <c r="E639" s="4">
        <v>10</v>
      </c>
      <c r="F639" s="8">
        <v>1.84</v>
      </c>
      <c r="G639" s="4">
        <v>32</v>
      </c>
      <c r="H639" s="8">
        <v>4.1900000000000004</v>
      </c>
      <c r="I639" s="4">
        <v>0</v>
      </c>
    </row>
    <row r="640" spans="1:9" x14ac:dyDescent="0.2">
      <c r="A640" s="2">
        <v>11</v>
      </c>
      <c r="B640" s="1" t="s">
        <v>92</v>
      </c>
      <c r="C640" s="4">
        <v>41</v>
      </c>
      <c r="D640" s="8">
        <v>3.13</v>
      </c>
      <c r="E640" s="4">
        <v>34</v>
      </c>
      <c r="F640" s="8">
        <v>6.25</v>
      </c>
      <c r="G640" s="4">
        <v>7</v>
      </c>
      <c r="H640" s="8">
        <v>0.92</v>
      </c>
      <c r="I640" s="4">
        <v>0</v>
      </c>
    </row>
    <row r="641" spans="1:9" x14ac:dyDescent="0.2">
      <c r="A641" s="2">
        <v>12</v>
      </c>
      <c r="B641" s="1" t="s">
        <v>87</v>
      </c>
      <c r="C641" s="4">
        <v>31</v>
      </c>
      <c r="D641" s="8">
        <v>2.37</v>
      </c>
      <c r="E641" s="4">
        <v>9</v>
      </c>
      <c r="F641" s="8">
        <v>1.65</v>
      </c>
      <c r="G641" s="4">
        <v>22</v>
      </c>
      <c r="H641" s="8">
        <v>2.88</v>
      </c>
      <c r="I641" s="4">
        <v>0</v>
      </c>
    </row>
    <row r="642" spans="1:9" x14ac:dyDescent="0.2">
      <c r="A642" s="2">
        <v>13</v>
      </c>
      <c r="B642" s="1" t="s">
        <v>75</v>
      </c>
      <c r="C642" s="4">
        <v>29</v>
      </c>
      <c r="D642" s="8">
        <v>2.2200000000000002</v>
      </c>
      <c r="E642" s="4">
        <v>7</v>
      </c>
      <c r="F642" s="8">
        <v>1.29</v>
      </c>
      <c r="G642" s="4">
        <v>22</v>
      </c>
      <c r="H642" s="8">
        <v>2.88</v>
      </c>
      <c r="I642" s="4">
        <v>0</v>
      </c>
    </row>
    <row r="643" spans="1:9" x14ac:dyDescent="0.2">
      <c r="A643" s="2">
        <v>14</v>
      </c>
      <c r="B643" s="1" t="s">
        <v>80</v>
      </c>
      <c r="C643" s="4">
        <v>27</v>
      </c>
      <c r="D643" s="8">
        <v>2.06</v>
      </c>
      <c r="E643" s="4">
        <v>18</v>
      </c>
      <c r="F643" s="8">
        <v>3.31</v>
      </c>
      <c r="G643" s="4">
        <v>9</v>
      </c>
      <c r="H643" s="8">
        <v>1.18</v>
      </c>
      <c r="I643" s="4">
        <v>0</v>
      </c>
    </row>
    <row r="644" spans="1:9" x14ac:dyDescent="0.2">
      <c r="A644" s="2">
        <v>14</v>
      </c>
      <c r="B644" s="1" t="s">
        <v>93</v>
      </c>
      <c r="C644" s="4">
        <v>27</v>
      </c>
      <c r="D644" s="8">
        <v>2.06</v>
      </c>
      <c r="E644" s="4">
        <v>0</v>
      </c>
      <c r="F644" s="8">
        <v>0</v>
      </c>
      <c r="G644" s="4">
        <v>27</v>
      </c>
      <c r="H644" s="8">
        <v>3.54</v>
      </c>
      <c r="I644" s="4">
        <v>0</v>
      </c>
    </row>
    <row r="645" spans="1:9" x14ac:dyDescent="0.2">
      <c r="A645" s="2">
        <v>16</v>
      </c>
      <c r="B645" s="1" t="s">
        <v>79</v>
      </c>
      <c r="C645" s="4">
        <v>24</v>
      </c>
      <c r="D645" s="8">
        <v>1.83</v>
      </c>
      <c r="E645" s="4">
        <v>0</v>
      </c>
      <c r="F645" s="8">
        <v>0</v>
      </c>
      <c r="G645" s="4">
        <v>24</v>
      </c>
      <c r="H645" s="8">
        <v>3.15</v>
      </c>
      <c r="I645" s="4">
        <v>0</v>
      </c>
    </row>
    <row r="646" spans="1:9" x14ac:dyDescent="0.2">
      <c r="A646" s="2">
        <v>17</v>
      </c>
      <c r="B646" s="1" t="s">
        <v>97</v>
      </c>
      <c r="C646" s="4">
        <v>23</v>
      </c>
      <c r="D646" s="8">
        <v>1.76</v>
      </c>
      <c r="E646" s="4">
        <v>5</v>
      </c>
      <c r="F646" s="8">
        <v>0.92</v>
      </c>
      <c r="G646" s="4">
        <v>18</v>
      </c>
      <c r="H646" s="8">
        <v>2.36</v>
      </c>
      <c r="I646" s="4">
        <v>0</v>
      </c>
    </row>
    <row r="647" spans="1:9" x14ac:dyDescent="0.2">
      <c r="A647" s="2">
        <v>18</v>
      </c>
      <c r="B647" s="1" t="s">
        <v>78</v>
      </c>
      <c r="C647" s="4">
        <v>22</v>
      </c>
      <c r="D647" s="8">
        <v>1.68</v>
      </c>
      <c r="E647" s="4">
        <v>0</v>
      </c>
      <c r="F647" s="8">
        <v>0</v>
      </c>
      <c r="G647" s="4">
        <v>22</v>
      </c>
      <c r="H647" s="8">
        <v>2.88</v>
      </c>
      <c r="I647" s="4">
        <v>0</v>
      </c>
    </row>
    <row r="648" spans="1:9" x14ac:dyDescent="0.2">
      <c r="A648" s="2">
        <v>19</v>
      </c>
      <c r="B648" s="1" t="s">
        <v>90</v>
      </c>
      <c r="C648" s="4">
        <v>21</v>
      </c>
      <c r="D648" s="8">
        <v>1.61</v>
      </c>
      <c r="E648" s="4">
        <v>7</v>
      </c>
      <c r="F648" s="8">
        <v>1.29</v>
      </c>
      <c r="G648" s="4">
        <v>14</v>
      </c>
      <c r="H648" s="8">
        <v>1.83</v>
      </c>
      <c r="I648" s="4">
        <v>0</v>
      </c>
    </row>
    <row r="649" spans="1:9" x14ac:dyDescent="0.2">
      <c r="A649" s="2">
        <v>20</v>
      </c>
      <c r="B649" s="1" t="s">
        <v>104</v>
      </c>
      <c r="C649" s="4">
        <v>17</v>
      </c>
      <c r="D649" s="8">
        <v>1.3</v>
      </c>
      <c r="E649" s="4">
        <v>11</v>
      </c>
      <c r="F649" s="8">
        <v>2.02</v>
      </c>
      <c r="G649" s="4">
        <v>6</v>
      </c>
      <c r="H649" s="8">
        <v>0.79</v>
      </c>
      <c r="I649" s="4">
        <v>0</v>
      </c>
    </row>
    <row r="650" spans="1:9" x14ac:dyDescent="0.2">
      <c r="A650" s="1"/>
      <c r="C650" s="4"/>
      <c r="D650" s="8"/>
      <c r="E650" s="4"/>
      <c r="F650" s="8"/>
      <c r="G650" s="4"/>
      <c r="H650" s="8"/>
      <c r="I650" s="4"/>
    </row>
    <row r="651" spans="1:9" x14ac:dyDescent="0.2">
      <c r="A651" s="1" t="s">
        <v>29</v>
      </c>
      <c r="C651" s="4"/>
      <c r="D651" s="8"/>
      <c r="E651" s="4"/>
      <c r="F651" s="8"/>
      <c r="G651" s="4"/>
      <c r="H651" s="8"/>
      <c r="I651" s="4"/>
    </row>
    <row r="652" spans="1:9" x14ac:dyDescent="0.2">
      <c r="A652" s="2">
        <v>1</v>
      </c>
      <c r="B652" s="1" t="s">
        <v>74</v>
      </c>
      <c r="C652" s="4">
        <v>84</v>
      </c>
      <c r="D652" s="8">
        <v>8.16</v>
      </c>
      <c r="E652" s="4">
        <v>29</v>
      </c>
      <c r="F652" s="8">
        <v>5.59</v>
      </c>
      <c r="G652" s="4">
        <v>55</v>
      </c>
      <c r="H652" s="8">
        <v>10.91</v>
      </c>
      <c r="I652" s="4">
        <v>0</v>
      </c>
    </row>
    <row r="653" spans="1:9" x14ac:dyDescent="0.2">
      <c r="A653" s="2">
        <v>1</v>
      </c>
      <c r="B653" s="1" t="s">
        <v>89</v>
      </c>
      <c r="C653" s="4">
        <v>84</v>
      </c>
      <c r="D653" s="8">
        <v>8.16</v>
      </c>
      <c r="E653" s="4">
        <v>68</v>
      </c>
      <c r="F653" s="8">
        <v>13.1</v>
      </c>
      <c r="G653" s="4">
        <v>16</v>
      </c>
      <c r="H653" s="8">
        <v>3.17</v>
      </c>
      <c r="I653" s="4">
        <v>0</v>
      </c>
    </row>
    <row r="654" spans="1:9" x14ac:dyDescent="0.2">
      <c r="A654" s="2">
        <v>3</v>
      </c>
      <c r="B654" s="1" t="s">
        <v>83</v>
      </c>
      <c r="C654" s="4">
        <v>76</v>
      </c>
      <c r="D654" s="8">
        <v>7.39</v>
      </c>
      <c r="E654" s="4">
        <v>31</v>
      </c>
      <c r="F654" s="8">
        <v>5.97</v>
      </c>
      <c r="G654" s="4">
        <v>45</v>
      </c>
      <c r="H654" s="8">
        <v>8.93</v>
      </c>
      <c r="I654" s="4">
        <v>0</v>
      </c>
    </row>
    <row r="655" spans="1:9" x14ac:dyDescent="0.2">
      <c r="A655" s="2">
        <v>4</v>
      </c>
      <c r="B655" s="1" t="s">
        <v>77</v>
      </c>
      <c r="C655" s="4">
        <v>65</v>
      </c>
      <c r="D655" s="8">
        <v>6.32</v>
      </c>
      <c r="E655" s="4">
        <v>30</v>
      </c>
      <c r="F655" s="8">
        <v>5.78</v>
      </c>
      <c r="G655" s="4">
        <v>35</v>
      </c>
      <c r="H655" s="8">
        <v>6.94</v>
      </c>
      <c r="I655" s="4">
        <v>0</v>
      </c>
    </row>
    <row r="656" spans="1:9" x14ac:dyDescent="0.2">
      <c r="A656" s="2">
        <v>5</v>
      </c>
      <c r="B656" s="1" t="s">
        <v>100</v>
      </c>
      <c r="C656" s="4">
        <v>49</v>
      </c>
      <c r="D656" s="8">
        <v>4.76</v>
      </c>
      <c r="E656" s="4">
        <v>20</v>
      </c>
      <c r="F656" s="8">
        <v>3.85</v>
      </c>
      <c r="G656" s="4">
        <v>29</v>
      </c>
      <c r="H656" s="8">
        <v>5.75</v>
      </c>
      <c r="I656" s="4">
        <v>0</v>
      </c>
    </row>
    <row r="657" spans="1:9" x14ac:dyDescent="0.2">
      <c r="A657" s="2">
        <v>6</v>
      </c>
      <c r="B657" s="1" t="s">
        <v>82</v>
      </c>
      <c r="C657" s="4">
        <v>48</v>
      </c>
      <c r="D657" s="8">
        <v>4.66</v>
      </c>
      <c r="E657" s="4">
        <v>29</v>
      </c>
      <c r="F657" s="8">
        <v>5.59</v>
      </c>
      <c r="G657" s="4">
        <v>19</v>
      </c>
      <c r="H657" s="8">
        <v>3.77</v>
      </c>
      <c r="I657" s="4">
        <v>0</v>
      </c>
    </row>
    <row r="658" spans="1:9" x14ac:dyDescent="0.2">
      <c r="A658" s="2">
        <v>6</v>
      </c>
      <c r="B658" s="1" t="s">
        <v>88</v>
      </c>
      <c r="C658" s="4">
        <v>48</v>
      </c>
      <c r="D658" s="8">
        <v>4.66</v>
      </c>
      <c r="E658" s="4">
        <v>40</v>
      </c>
      <c r="F658" s="8">
        <v>7.71</v>
      </c>
      <c r="G658" s="4">
        <v>8</v>
      </c>
      <c r="H658" s="8">
        <v>1.59</v>
      </c>
      <c r="I658" s="4">
        <v>0</v>
      </c>
    </row>
    <row r="659" spans="1:9" x14ac:dyDescent="0.2">
      <c r="A659" s="2">
        <v>8</v>
      </c>
      <c r="B659" s="1" t="s">
        <v>81</v>
      </c>
      <c r="C659" s="4">
        <v>37</v>
      </c>
      <c r="D659" s="8">
        <v>3.6</v>
      </c>
      <c r="E659" s="4">
        <v>24</v>
      </c>
      <c r="F659" s="8">
        <v>4.62</v>
      </c>
      <c r="G659" s="4">
        <v>13</v>
      </c>
      <c r="H659" s="8">
        <v>2.58</v>
      </c>
      <c r="I659" s="4">
        <v>0</v>
      </c>
    </row>
    <row r="660" spans="1:9" x14ac:dyDescent="0.2">
      <c r="A660" s="2">
        <v>9</v>
      </c>
      <c r="B660" s="1" t="s">
        <v>75</v>
      </c>
      <c r="C660" s="4">
        <v>36</v>
      </c>
      <c r="D660" s="8">
        <v>3.5</v>
      </c>
      <c r="E660" s="4">
        <v>28</v>
      </c>
      <c r="F660" s="8">
        <v>5.39</v>
      </c>
      <c r="G660" s="4">
        <v>8</v>
      </c>
      <c r="H660" s="8">
        <v>1.59</v>
      </c>
      <c r="I660" s="4">
        <v>0</v>
      </c>
    </row>
    <row r="661" spans="1:9" x14ac:dyDescent="0.2">
      <c r="A661" s="2">
        <v>10</v>
      </c>
      <c r="B661" s="1" t="s">
        <v>76</v>
      </c>
      <c r="C661" s="4">
        <v>35</v>
      </c>
      <c r="D661" s="8">
        <v>3.4</v>
      </c>
      <c r="E661" s="4">
        <v>16</v>
      </c>
      <c r="F661" s="8">
        <v>3.08</v>
      </c>
      <c r="G661" s="4">
        <v>19</v>
      </c>
      <c r="H661" s="8">
        <v>3.77</v>
      </c>
      <c r="I661" s="4">
        <v>0</v>
      </c>
    </row>
    <row r="662" spans="1:9" x14ac:dyDescent="0.2">
      <c r="A662" s="2">
        <v>10</v>
      </c>
      <c r="B662" s="1" t="s">
        <v>114</v>
      </c>
      <c r="C662" s="4">
        <v>35</v>
      </c>
      <c r="D662" s="8">
        <v>3.4</v>
      </c>
      <c r="E662" s="4">
        <v>24</v>
      </c>
      <c r="F662" s="8">
        <v>4.62</v>
      </c>
      <c r="G662" s="4">
        <v>11</v>
      </c>
      <c r="H662" s="8">
        <v>2.1800000000000002</v>
      </c>
      <c r="I662" s="4">
        <v>0</v>
      </c>
    </row>
    <row r="663" spans="1:9" x14ac:dyDescent="0.2">
      <c r="A663" s="2">
        <v>12</v>
      </c>
      <c r="B663" s="1" t="s">
        <v>80</v>
      </c>
      <c r="C663" s="4">
        <v>34</v>
      </c>
      <c r="D663" s="8">
        <v>3.3</v>
      </c>
      <c r="E663" s="4">
        <v>10</v>
      </c>
      <c r="F663" s="8">
        <v>1.93</v>
      </c>
      <c r="G663" s="4">
        <v>24</v>
      </c>
      <c r="H663" s="8">
        <v>4.76</v>
      </c>
      <c r="I663" s="4">
        <v>0</v>
      </c>
    </row>
    <row r="664" spans="1:9" x14ac:dyDescent="0.2">
      <c r="A664" s="2">
        <v>13</v>
      </c>
      <c r="B664" s="1" t="s">
        <v>91</v>
      </c>
      <c r="C664" s="4">
        <v>28</v>
      </c>
      <c r="D664" s="8">
        <v>2.72</v>
      </c>
      <c r="E664" s="4">
        <v>16</v>
      </c>
      <c r="F664" s="8">
        <v>3.08</v>
      </c>
      <c r="G664" s="4">
        <v>7</v>
      </c>
      <c r="H664" s="8">
        <v>1.39</v>
      </c>
      <c r="I664" s="4">
        <v>0</v>
      </c>
    </row>
    <row r="665" spans="1:9" x14ac:dyDescent="0.2">
      <c r="A665" s="2">
        <v>14</v>
      </c>
      <c r="B665" s="1" t="s">
        <v>115</v>
      </c>
      <c r="C665" s="4">
        <v>27</v>
      </c>
      <c r="D665" s="8">
        <v>2.62</v>
      </c>
      <c r="E665" s="4">
        <v>14</v>
      </c>
      <c r="F665" s="8">
        <v>2.7</v>
      </c>
      <c r="G665" s="4">
        <v>13</v>
      </c>
      <c r="H665" s="8">
        <v>2.58</v>
      </c>
      <c r="I665" s="4">
        <v>0</v>
      </c>
    </row>
    <row r="666" spans="1:9" x14ac:dyDescent="0.2">
      <c r="A666" s="2">
        <v>15</v>
      </c>
      <c r="B666" s="1" t="s">
        <v>85</v>
      </c>
      <c r="C666" s="4">
        <v>24</v>
      </c>
      <c r="D666" s="8">
        <v>2.33</v>
      </c>
      <c r="E666" s="4">
        <v>1</v>
      </c>
      <c r="F666" s="8">
        <v>0.19</v>
      </c>
      <c r="G666" s="4">
        <v>23</v>
      </c>
      <c r="H666" s="8">
        <v>4.5599999999999996</v>
      </c>
      <c r="I666" s="4">
        <v>0</v>
      </c>
    </row>
    <row r="667" spans="1:9" x14ac:dyDescent="0.2">
      <c r="A667" s="2">
        <v>16</v>
      </c>
      <c r="B667" s="1" t="s">
        <v>110</v>
      </c>
      <c r="C667" s="4">
        <v>23</v>
      </c>
      <c r="D667" s="8">
        <v>2.2400000000000002</v>
      </c>
      <c r="E667" s="4">
        <v>15</v>
      </c>
      <c r="F667" s="8">
        <v>2.89</v>
      </c>
      <c r="G667" s="4">
        <v>8</v>
      </c>
      <c r="H667" s="8">
        <v>1.59</v>
      </c>
      <c r="I667" s="4">
        <v>0</v>
      </c>
    </row>
    <row r="668" spans="1:9" x14ac:dyDescent="0.2">
      <c r="A668" s="2">
        <v>16</v>
      </c>
      <c r="B668" s="1" t="s">
        <v>113</v>
      </c>
      <c r="C668" s="4">
        <v>23</v>
      </c>
      <c r="D668" s="8">
        <v>2.2400000000000002</v>
      </c>
      <c r="E668" s="4">
        <v>10</v>
      </c>
      <c r="F668" s="8">
        <v>1.93</v>
      </c>
      <c r="G668" s="4">
        <v>13</v>
      </c>
      <c r="H668" s="8">
        <v>2.58</v>
      </c>
      <c r="I668" s="4">
        <v>0</v>
      </c>
    </row>
    <row r="669" spans="1:9" x14ac:dyDescent="0.2">
      <c r="A669" s="2">
        <v>18</v>
      </c>
      <c r="B669" s="1" t="s">
        <v>92</v>
      </c>
      <c r="C669" s="4">
        <v>18</v>
      </c>
      <c r="D669" s="8">
        <v>1.75</v>
      </c>
      <c r="E669" s="4">
        <v>16</v>
      </c>
      <c r="F669" s="8">
        <v>3.08</v>
      </c>
      <c r="G669" s="4">
        <v>2</v>
      </c>
      <c r="H669" s="8">
        <v>0.4</v>
      </c>
      <c r="I669" s="4">
        <v>0</v>
      </c>
    </row>
    <row r="670" spans="1:9" x14ac:dyDescent="0.2">
      <c r="A670" s="2">
        <v>19</v>
      </c>
      <c r="B670" s="1" t="s">
        <v>87</v>
      </c>
      <c r="C670" s="4">
        <v>17</v>
      </c>
      <c r="D670" s="8">
        <v>1.65</v>
      </c>
      <c r="E670" s="4">
        <v>9</v>
      </c>
      <c r="F670" s="8">
        <v>1.73</v>
      </c>
      <c r="G670" s="4">
        <v>8</v>
      </c>
      <c r="H670" s="8">
        <v>1.59</v>
      </c>
      <c r="I670" s="4">
        <v>0</v>
      </c>
    </row>
    <row r="671" spans="1:9" x14ac:dyDescent="0.2">
      <c r="A671" s="2">
        <v>20</v>
      </c>
      <c r="B671" s="1" t="s">
        <v>86</v>
      </c>
      <c r="C671" s="4">
        <v>16</v>
      </c>
      <c r="D671" s="8">
        <v>1.55</v>
      </c>
      <c r="E671" s="4">
        <v>11</v>
      </c>
      <c r="F671" s="8">
        <v>2.12</v>
      </c>
      <c r="G671" s="4">
        <v>5</v>
      </c>
      <c r="H671" s="8">
        <v>0.99</v>
      </c>
      <c r="I671" s="4">
        <v>0</v>
      </c>
    </row>
    <row r="672" spans="1:9" x14ac:dyDescent="0.2">
      <c r="A672" s="1"/>
      <c r="C672" s="4"/>
      <c r="D672" s="8"/>
      <c r="E672" s="4"/>
      <c r="F672" s="8"/>
      <c r="G672" s="4"/>
      <c r="H672" s="8"/>
      <c r="I672" s="4"/>
    </row>
    <row r="673" spans="1:9" x14ac:dyDescent="0.2">
      <c r="A673" s="1" t="s">
        <v>30</v>
      </c>
      <c r="C673" s="4"/>
      <c r="D673" s="8"/>
      <c r="E673" s="4"/>
      <c r="F673" s="8"/>
      <c r="G673" s="4"/>
      <c r="H673" s="8"/>
      <c r="I673" s="4"/>
    </row>
    <row r="674" spans="1:9" x14ac:dyDescent="0.2">
      <c r="A674" s="2">
        <v>1</v>
      </c>
      <c r="B674" s="1" t="s">
        <v>88</v>
      </c>
      <c r="C674" s="4">
        <v>117</v>
      </c>
      <c r="D674" s="8">
        <v>10.43</v>
      </c>
      <c r="E674" s="4">
        <v>103</v>
      </c>
      <c r="F674" s="8">
        <v>14.78</v>
      </c>
      <c r="G674" s="4">
        <v>14</v>
      </c>
      <c r="H674" s="8">
        <v>3.43</v>
      </c>
      <c r="I674" s="4">
        <v>0</v>
      </c>
    </row>
    <row r="675" spans="1:9" x14ac:dyDescent="0.2">
      <c r="A675" s="2">
        <v>2</v>
      </c>
      <c r="B675" s="1" t="s">
        <v>83</v>
      </c>
      <c r="C675" s="4">
        <v>111</v>
      </c>
      <c r="D675" s="8">
        <v>9.89</v>
      </c>
      <c r="E675" s="4">
        <v>73</v>
      </c>
      <c r="F675" s="8">
        <v>10.47</v>
      </c>
      <c r="G675" s="4">
        <v>38</v>
      </c>
      <c r="H675" s="8">
        <v>9.31</v>
      </c>
      <c r="I675" s="4">
        <v>0</v>
      </c>
    </row>
    <row r="676" spans="1:9" x14ac:dyDescent="0.2">
      <c r="A676" s="2">
        <v>3</v>
      </c>
      <c r="B676" s="1" t="s">
        <v>74</v>
      </c>
      <c r="C676" s="4">
        <v>105</v>
      </c>
      <c r="D676" s="8">
        <v>9.36</v>
      </c>
      <c r="E676" s="4">
        <v>44</v>
      </c>
      <c r="F676" s="8">
        <v>6.31</v>
      </c>
      <c r="G676" s="4">
        <v>61</v>
      </c>
      <c r="H676" s="8">
        <v>14.95</v>
      </c>
      <c r="I676" s="4">
        <v>0</v>
      </c>
    </row>
    <row r="677" spans="1:9" x14ac:dyDescent="0.2">
      <c r="A677" s="2">
        <v>4</v>
      </c>
      <c r="B677" s="1" t="s">
        <v>89</v>
      </c>
      <c r="C677" s="4">
        <v>76</v>
      </c>
      <c r="D677" s="8">
        <v>6.77</v>
      </c>
      <c r="E677" s="4">
        <v>65</v>
      </c>
      <c r="F677" s="8">
        <v>9.33</v>
      </c>
      <c r="G677" s="4">
        <v>11</v>
      </c>
      <c r="H677" s="8">
        <v>2.7</v>
      </c>
      <c r="I677" s="4">
        <v>0</v>
      </c>
    </row>
    <row r="678" spans="1:9" x14ac:dyDescent="0.2">
      <c r="A678" s="2">
        <v>5</v>
      </c>
      <c r="B678" s="1" t="s">
        <v>81</v>
      </c>
      <c r="C678" s="4">
        <v>75</v>
      </c>
      <c r="D678" s="8">
        <v>6.68</v>
      </c>
      <c r="E678" s="4">
        <v>58</v>
      </c>
      <c r="F678" s="8">
        <v>8.32</v>
      </c>
      <c r="G678" s="4">
        <v>17</v>
      </c>
      <c r="H678" s="8">
        <v>4.17</v>
      </c>
      <c r="I678" s="4">
        <v>0</v>
      </c>
    </row>
    <row r="679" spans="1:9" x14ac:dyDescent="0.2">
      <c r="A679" s="2">
        <v>6</v>
      </c>
      <c r="B679" s="1" t="s">
        <v>75</v>
      </c>
      <c r="C679" s="4">
        <v>55</v>
      </c>
      <c r="D679" s="8">
        <v>4.9000000000000004</v>
      </c>
      <c r="E679" s="4">
        <v>43</v>
      </c>
      <c r="F679" s="8">
        <v>6.17</v>
      </c>
      <c r="G679" s="4">
        <v>12</v>
      </c>
      <c r="H679" s="8">
        <v>2.94</v>
      </c>
      <c r="I679" s="4">
        <v>0</v>
      </c>
    </row>
    <row r="680" spans="1:9" x14ac:dyDescent="0.2">
      <c r="A680" s="2">
        <v>7</v>
      </c>
      <c r="B680" s="1" t="s">
        <v>85</v>
      </c>
      <c r="C680" s="4">
        <v>54</v>
      </c>
      <c r="D680" s="8">
        <v>4.8099999999999996</v>
      </c>
      <c r="E680" s="4">
        <v>32</v>
      </c>
      <c r="F680" s="8">
        <v>4.59</v>
      </c>
      <c r="G680" s="4">
        <v>21</v>
      </c>
      <c r="H680" s="8">
        <v>5.15</v>
      </c>
      <c r="I680" s="4">
        <v>1</v>
      </c>
    </row>
    <row r="681" spans="1:9" x14ac:dyDescent="0.2">
      <c r="A681" s="2">
        <v>8</v>
      </c>
      <c r="B681" s="1" t="s">
        <v>116</v>
      </c>
      <c r="C681" s="4">
        <v>43</v>
      </c>
      <c r="D681" s="8">
        <v>3.83</v>
      </c>
      <c r="E681" s="4">
        <v>36</v>
      </c>
      <c r="F681" s="8">
        <v>5.16</v>
      </c>
      <c r="G681" s="4">
        <v>7</v>
      </c>
      <c r="H681" s="8">
        <v>1.72</v>
      </c>
      <c r="I681" s="4">
        <v>0</v>
      </c>
    </row>
    <row r="682" spans="1:9" x14ac:dyDescent="0.2">
      <c r="A682" s="2">
        <v>9</v>
      </c>
      <c r="B682" s="1" t="s">
        <v>82</v>
      </c>
      <c r="C682" s="4">
        <v>41</v>
      </c>
      <c r="D682" s="8">
        <v>3.65</v>
      </c>
      <c r="E682" s="4">
        <v>28</v>
      </c>
      <c r="F682" s="8">
        <v>4.0199999999999996</v>
      </c>
      <c r="G682" s="4">
        <v>13</v>
      </c>
      <c r="H682" s="8">
        <v>3.19</v>
      </c>
      <c r="I682" s="4">
        <v>0</v>
      </c>
    </row>
    <row r="683" spans="1:9" x14ac:dyDescent="0.2">
      <c r="A683" s="2">
        <v>10</v>
      </c>
      <c r="B683" s="1" t="s">
        <v>80</v>
      </c>
      <c r="C683" s="4">
        <v>33</v>
      </c>
      <c r="D683" s="8">
        <v>2.94</v>
      </c>
      <c r="E683" s="4">
        <v>20</v>
      </c>
      <c r="F683" s="8">
        <v>2.87</v>
      </c>
      <c r="G683" s="4">
        <v>13</v>
      </c>
      <c r="H683" s="8">
        <v>3.19</v>
      </c>
      <c r="I683" s="4">
        <v>0</v>
      </c>
    </row>
    <row r="684" spans="1:9" x14ac:dyDescent="0.2">
      <c r="A684" s="2">
        <v>11</v>
      </c>
      <c r="B684" s="1" t="s">
        <v>91</v>
      </c>
      <c r="C684" s="4">
        <v>31</v>
      </c>
      <c r="D684" s="8">
        <v>2.76</v>
      </c>
      <c r="E684" s="4">
        <v>18</v>
      </c>
      <c r="F684" s="8">
        <v>2.58</v>
      </c>
      <c r="G684" s="4">
        <v>10</v>
      </c>
      <c r="H684" s="8">
        <v>2.4500000000000002</v>
      </c>
      <c r="I684" s="4">
        <v>1</v>
      </c>
    </row>
    <row r="685" spans="1:9" x14ac:dyDescent="0.2">
      <c r="A685" s="2">
        <v>12</v>
      </c>
      <c r="B685" s="1" t="s">
        <v>76</v>
      </c>
      <c r="C685" s="4">
        <v>29</v>
      </c>
      <c r="D685" s="8">
        <v>2.58</v>
      </c>
      <c r="E685" s="4">
        <v>22</v>
      </c>
      <c r="F685" s="8">
        <v>3.16</v>
      </c>
      <c r="G685" s="4">
        <v>7</v>
      </c>
      <c r="H685" s="8">
        <v>1.72</v>
      </c>
      <c r="I685" s="4">
        <v>0</v>
      </c>
    </row>
    <row r="686" spans="1:9" x14ac:dyDescent="0.2">
      <c r="A686" s="2">
        <v>13</v>
      </c>
      <c r="B686" s="1" t="s">
        <v>93</v>
      </c>
      <c r="C686" s="4">
        <v>26</v>
      </c>
      <c r="D686" s="8">
        <v>2.3199999999999998</v>
      </c>
      <c r="E686" s="4">
        <v>0</v>
      </c>
      <c r="F686" s="8">
        <v>0</v>
      </c>
      <c r="G686" s="4">
        <v>15</v>
      </c>
      <c r="H686" s="8">
        <v>3.68</v>
      </c>
      <c r="I686" s="4">
        <v>0</v>
      </c>
    </row>
    <row r="687" spans="1:9" x14ac:dyDescent="0.2">
      <c r="A687" s="2">
        <v>14</v>
      </c>
      <c r="B687" s="1" t="s">
        <v>86</v>
      </c>
      <c r="C687" s="4">
        <v>25</v>
      </c>
      <c r="D687" s="8">
        <v>2.23</v>
      </c>
      <c r="E687" s="4">
        <v>18</v>
      </c>
      <c r="F687" s="8">
        <v>2.58</v>
      </c>
      <c r="G687" s="4">
        <v>7</v>
      </c>
      <c r="H687" s="8">
        <v>1.72</v>
      </c>
      <c r="I687" s="4">
        <v>0</v>
      </c>
    </row>
    <row r="688" spans="1:9" x14ac:dyDescent="0.2">
      <c r="A688" s="2">
        <v>15</v>
      </c>
      <c r="B688" s="1" t="s">
        <v>92</v>
      </c>
      <c r="C688" s="4">
        <v>24</v>
      </c>
      <c r="D688" s="8">
        <v>2.14</v>
      </c>
      <c r="E688" s="4">
        <v>21</v>
      </c>
      <c r="F688" s="8">
        <v>3.01</v>
      </c>
      <c r="G688" s="4">
        <v>3</v>
      </c>
      <c r="H688" s="8">
        <v>0.74</v>
      </c>
      <c r="I688" s="4">
        <v>0</v>
      </c>
    </row>
    <row r="689" spans="1:9" x14ac:dyDescent="0.2">
      <c r="A689" s="2">
        <v>16</v>
      </c>
      <c r="B689" s="1" t="s">
        <v>87</v>
      </c>
      <c r="C689" s="4">
        <v>22</v>
      </c>
      <c r="D689" s="8">
        <v>1.96</v>
      </c>
      <c r="E689" s="4">
        <v>11</v>
      </c>
      <c r="F689" s="8">
        <v>1.58</v>
      </c>
      <c r="G689" s="4">
        <v>11</v>
      </c>
      <c r="H689" s="8">
        <v>2.7</v>
      </c>
      <c r="I689" s="4">
        <v>0</v>
      </c>
    </row>
    <row r="690" spans="1:9" x14ac:dyDescent="0.2">
      <c r="A690" s="2">
        <v>17</v>
      </c>
      <c r="B690" s="1" t="s">
        <v>84</v>
      </c>
      <c r="C690" s="4">
        <v>18</v>
      </c>
      <c r="D690" s="8">
        <v>1.6</v>
      </c>
      <c r="E690" s="4">
        <v>8</v>
      </c>
      <c r="F690" s="8">
        <v>1.1499999999999999</v>
      </c>
      <c r="G690" s="4">
        <v>10</v>
      </c>
      <c r="H690" s="8">
        <v>2.4500000000000002</v>
      </c>
      <c r="I690" s="4">
        <v>0</v>
      </c>
    </row>
    <row r="691" spans="1:9" x14ac:dyDescent="0.2">
      <c r="A691" s="2">
        <v>18</v>
      </c>
      <c r="B691" s="1" t="s">
        <v>108</v>
      </c>
      <c r="C691" s="4">
        <v>16</v>
      </c>
      <c r="D691" s="8">
        <v>1.43</v>
      </c>
      <c r="E691" s="4">
        <v>4</v>
      </c>
      <c r="F691" s="8">
        <v>0.56999999999999995</v>
      </c>
      <c r="G691" s="4">
        <v>12</v>
      </c>
      <c r="H691" s="8">
        <v>2.94</v>
      </c>
      <c r="I691" s="4">
        <v>0</v>
      </c>
    </row>
    <row r="692" spans="1:9" x14ac:dyDescent="0.2">
      <c r="A692" s="2">
        <v>19</v>
      </c>
      <c r="B692" s="1" t="s">
        <v>77</v>
      </c>
      <c r="C692" s="4">
        <v>14</v>
      </c>
      <c r="D692" s="8">
        <v>1.25</v>
      </c>
      <c r="E692" s="4">
        <v>7</v>
      </c>
      <c r="F692" s="8">
        <v>1</v>
      </c>
      <c r="G692" s="4">
        <v>7</v>
      </c>
      <c r="H692" s="8">
        <v>1.72</v>
      </c>
      <c r="I692" s="4">
        <v>0</v>
      </c>
    </row>
    <row r="693" spans="1:9" x14ac:dyDescent="0.2">
      <c r="A693" s="2">
        <v>19</v>
      </c>
      <c r="B693" s="1" t="s">
        <v>101</v>
      </c>
      <c r="C693" s="4">
        <v>14</v>
      </c>
      <c r="D693" s="8">
        <v>1.25</v>
      </c>
      <c r="E693" s="4">
        <v>5</v>
      </c>
      <c r="F693" s="8">
        <v>0.72</v>
      </c>
      <c r="G693" s="4">
        <v>9</v>
      </c>
      <c r="H693" s="8">
        <v>2.21</v>
      </c>
      <c r="I693" s="4">
        <v>0</v>
      </c>
    </row>
    <row r="694" spans="1:9" x14ac:dyDescent="0.2">
      <c r="A694" s="2">
        <v>19</v>
      </c>
      <c r="B694" s="1" t="s">
        <v>90</v>
      </c>
      <c r="C694" s="4">
        <v>14</v>
      </c>
      <c r="D694" s="8">
        <v>1.25</v>
      </c>
      <c r="E694" s="4">
        <v>8</v>
      </c>
      <c r="F694" s="8">
        <v>1.1499999999999999</v>
      </c>
      <c r="G694" s="4">
        <v>6</v>
      </c>
      <c r="H694" s="8">
        <v>1.47</v>
      </c>
      <c r="I694" s="4">
        <v>0</v>
      </c>
    </row>
    <row r="695" spans="1:9" x14ac:dyDescent="0.2">
      <c r="A695" s="1"/>
      <c r="C695" s="4"/>
      <c r="D695" s="8"/>
      <c r="E695" s="4"/>
      <c r="F695" s="8"/>
      <c r="G695" s="4"/>
      <c r="H695" s="8"/>
      <c r="I695" s="4"/>
    </row>
    <row r="696" spans="1:9" x14ac:dyDescent="0.2">
      <c r="A696" s="1" t="s">
        <v>31</v>
      </c>
      <c r="C696" s="4"/>
      <c r="D696" s="8"/>
      <c r="E696" s="4"/>
      <c r="F696" s="8"/>
      <c r="G696" s="4"/>
      <c r="H696" s="8"/>
      <c r="I696" s="4"/>
    </row>
    <row r="697" spans="1:9" x14ac:dyDescent="0.2">
      <c r="A697" s="2">
        <v>1</v>
      </c>
      <c r="B697" s="1" t="s">
        <v>74</v>
      </c>
      <c r="C697" s="4">
        <v>67</v>
      </c>
      <c r="D697" s="8">
        <v>9.5299999999999994</v>
      </c>
      <c r="E697" s="4">
        <v>29</v>
      </c>
      <c r="F697" s="8">
        <v>6.53</v>
      </c>
      <c r="G697" s="4">
        <v>38</v>
      </c>
      <c r="H697" s="8">
        <v>15.77</v>
      </c>
      <c r="I697" s="4">
        <v>0</v>
      </c>
    </row>
    <row r="698" spans="1:9" x14ac:dyDescent="0.2">
      <c r="A698" s="2">
        <v>1</v>
      </c>
      <c r="B698" s="1" t="s">
        <v>83</v>
      </c>
      <c r="C698" s="4">
        <v>67</v>
      </c>
      <c r="D698" s="8">
        <v>9.5299999999999994</v>
      </c>
      <c r="E698" s="4">
        <v>33</v>
      </c>
      <c r="F698" s="8">
        <v>7.43</v>
      </c>
      <c r="G698" s="4">
        <v>34</v>
      </c>
      <c r="H698" s="8">
        <v>14.11</v>
      </c>
      <c r="I698" s="4">
        <v>0</v>
      </c>
    </row>
    <row r="699" spans="1:9" x14ac:dyDescent="0.2">
      <c r="A699" s="2">
        <v>3</v>
      </c>
      <c r="B699" s="1" t="s">
        <v>89</v>
      </c>
      <c r="C699" s="4">
        <v>57</v>
      </c>
      <c r="D699" s="8">
        <v>8.11</v>
      </c>
      <c r="E699" s="4">
        <v>51</v>
      </c>
      <c r="F699" s="8">
        <v>11.49</v>
      </c>
      <c r="G699" s="4">
        <v>6</v>
      </c>
      <c r="H699" s="8">
        <v>2.4900000000000002</v>
      </c>
      <c r="I699" s="4">
        <v>0</v>
      </c>
    </row>
    <row r="700" spans="1:9" x14ac:dyDescent="0.2">
      <c r="A700" s="2">
        <v>4</v>
      </c>
      <c r="B700" s="1" t="s">
        <v>88</v>
      </c>
      <c r="C700" s="4">
        <v>46</v>
      </c>
      <c r="D700" s="8">
        <v>6.54</v>
      </c>
      <c r="E700" s="4">
        <v>40</v>
      </c>
      <c r="F700" s="8">
        <v>9.01</v>
      </c>
      <c r="G700" s="4">
        <v>5</v>
      </c>
      <c r="H700" s="8">
        <v>2.0699999999999998</v>
      </c>
      <c r="I700" s="4">
        <v>1</v>
      </c>
    </row>
    <row r="701" spans="1:9" x14ac:dyDescent="0.2">
      <c r="A701" s="2">
        <v>5</v>
      </c>
      <c r="B701" s="1" t="s">
        <v>105</v>
      </c>
      <c r="C701" s="4">
        <v>43</v>
      </c>
      <c r="D701" s="8">
        <v>6.12</v>
      </c>
      <c r="E701" s="4">
        <v>32</v>
      </c>
      <c r="F701" s="8">
        <v>7.21</v>
      </c>
      <c r="G701" s="4">
        <v>11</v>
      </c>
      <c r="H701" s="8">
        <v>4.5599999999999996</v>
      </c>
      <c r="I701" s="4">
        <v>0</v>
      </c>
    </row>
    <row r="702" spans="1:9" x14ac:dyDescent="0.2">
      <c r="A702" s="2">
        <v>6</v>
      </c>
      <c r="B702" s="1" t="s">
        <v>81</v>
      </c>
      <c r="C702" s="4">
        <v>35</v>
      </c>
      <c r="D702" s="8">
        <v>4.9800000000000004</v>
      </c>
      <c r="E702" s="4">
        <v>31</v>
      </c>
      <c r="F702" s="8">
        <v>6.98</v>
      </c>
      <c r="G702" s="4">
        <v>4</v>
      </c>
      <c r="H702" s="8">
        <v>1.66</v>
      </c>
      <c r="I702" s="4">
        <v>0</v>
      </c>
    </row>
    <row r="703" spans="1:9" x14ac:dyDescent="0.2">
      <c r="A703" s="2">
        <v>7</v>
      </c>
      <c r="B703" s="1" t="s">
        <v>85</v>
      </c>
      <c r="C703" s="4">
        <v>34</v>
      </c>
      <c r="D703" s="8">
        <v>4.84</v>
      </c>
      <c r="E703" s="4">
        <v>19</v>
      </c>
      <c r="F703" s="8">
        <v>4.28</v>
      </c>
      <c r="G703" s="4">
        <v>15</v>
      </c>
      <c r="H703" s="8">
        <v>6.22</v>
      </c>
      <c r="I703" s="4">
        <v>0</v>
      </c>
    </row>
    <row r="704" spans="1:9" x14ac:dyDescent="0.2">
      <c r="A704" s="2">
        <v>8</v>
      </c>
      <c r="B704" s="1" t="s">
        <v>75</v>
      </c>
      <c r="C704" s="4">
        <v>32</v>
      </c>
      <c r="D704" s="8">
        <v>4.55</v>
      </c>
      <c r="E704" s="4">
        <v>26</v>
      </c>
      <c r="F704" s="8">
        <v>5.86</v>
      </c>
      <c r="G704" s="4">
        <v>6</v>
      </c>
      <c r="H704" s="8">
        <v>2.4900000000000002</v>
      </c>
      <c r="I704" s="4">
        <v>0</v>
      </c>
    </row>
    <row r="705" spans="1:9" x14ac:dyDescent="0.2">
      <c r="A705" s="2">
        <v>8</v>
      </c>
      <c r="B705" s="1" t="s">
        <v>91</v>
      </c>
      <c r="C705" s="4">
        <v>32</v>
      </c>
      <c r="D705" s="8">
        <v>4.55</v>
      </c>
      <c r="E705" s="4">
        <v>26</v>
      </c>
      <c r="F705" s="8">
        <v>5.86</v>
      </c>
      <c r="G705" s="4">
        <v>2</v>
      </c>
      <c r="H705" s="8">
        <v>0.83</v>
      </c>
      <c r="I705" s="4">
        <v>1</v>
      </c>
    </row>
    <row r="706" spans="1:9" x14ac:dyDescent="0.2">
      <c r="A706" s="2">
        <v>10</v>
      </c>
      <c r="B706" s="1" t="s">
        <v>82</v>
      </c>
      <c r="C706" s="4">
        <v>26</v>
      </c>
      <c r="D706" s="8">
        <v>3.7</v>
      </c>
      <c r="E706" s="4">
        <v>20</v>
      </c>
      <c r="F706" s="8">
        <v>4.5</v>
      </c>
      <c r="G706" s="4">
        <v>6</v>
      </c>
      <c r="H706" s="8">
        <v>2.4900000000000002</v>
      </c>
      <c r="I706" s="4">
        <v>0</v>
      </c>
    </row>
    <row r="707" spans="1:9" x14ac:dyDescent="0.2">
      <c r="A707" s="2">
        <v>11</v>
      </c>
      <c r="B707" s="1" t="s">
        <v>76</v>
      </c>
      <c r="C707" s="4">
        <v>25</v>
      </c>
      <c r="D707" s="8">
        <v>3.56</v>
      </c>
      <c r="E707" s="4">
        <v>16</v>
      </c>
      <c r="F707" s="8">
        <v>3.6</v>
      </c>
      <c r="G707" s="4">
        <v>9</v>
      </c>
      <c r="H707" s="8">
        <v>3.73</v>
      </c>
      <c r="I707" s="4">
        <v>0</v>
      </c>
    </row>
    <row r="708" spans="1:9" x14ac:dyDescent="0.2">
      <c r="A708" s="2">
        <v>12</v>
      </c>
      <c r="B708" s="1" t="s">
        <v>80</v>
      </c>
      <c r="C708" s="4">
        <v>21</v>
      </c>
      <c r="D708" s="8">
        <v>2.99</v>
      </c>
      <c r="E708" s="4">
        <v>14</v>
      </c>
      <c r="F708" s="8">
        <v>3.15</v>
      </c>
      <c r="G708" s="4">
        <v>7</v>
      </c>
      <c r="H708" s="8">
        <v>2.9</v>
      </c>
      <c r="I708" s="4">
        <v>0</v>
      </c>
    </row>
    <row r="709" spans="1:9" x14ac:dyDescent="0.2">
      <c r="A709" s="2">
        <v>13</v>
      </c>
      <c r="B709" s="1" t="s">
        <v>87</v>
      </c>
      <c r="C709" s="4">
        <v>15</v>
      </c>
      <c r="D709" s="8">
        <v>2.13</v>
      </c>
      <c r="E709" s="4">
        <v>9</v>
      </c>
      <c r="F709" s="8">
        <v>2.0299999999999998</v>
      </c>
      <c r="G709" s="4">
        <v>5</v>
      </c>
      <c r="H709" s="8">
        <v>2.0699999999999998</v>
      </c>
      <c r="I709" s="4">
        <v>0</v>
      </c>
    </row>
    <row r="710" spans="1:9" x14ac:dyDescent="0.2">
      <c r="A710" s="2">
        <v>14</v>
      </c>
      <c r="B710" s="1" t="s">
        <v>77</v>
      </c>
      <c r="C710" s="4">
        <v>13</v>
      </c>
      <c r="D710" s="8">
        <v>1.85</v>
      </c>
      <c r="E710" s="4">
        <v>7</v>
      </c>
      <c r="F710" s="8">
        <v>1.58</v>
      </c>
      <c r="G710" s="4">
        <v>6</v>
      </c>
      <c r="H710" s="8">
        <v>2.4900000000000002</v>
      </c>
      <c r="I710" s="4">
        <v>0</v>
      </c>
    </row>
    <row r="711" spans="1:9" x14ac:dyDescent="0.2">
      <c r="A711" s="2">
        <v>15</v>
      </c>
      <c r="B711" s="1" t="s">
        <v>92</v>
      </c>
      <c r="C711" s="4">
        <v>12</v>
      </c>
      <c r="D711" s="8">
        <v>1.71</v>
      </c>
      <c r="E711" s="4">
        <v>9</v>
      </c>
      <c r="F711" s="8">
        <v>2.0299999999999998</v>
      </c>
      <c r="G711" s="4">
        <v>1</v>
      </c>
      <c r="H711" s="8">
        <v>0.41</v>
      </c>
      <c r="I711" s="4">
        <v>0</v>
      </c>
    </row>
    <row r="712" spans="1:9" x14ac:dyDescent="0.2">
      <c r="A712" s="2">
        <v>16</v>
      </c>
      <c r="B712" s="1" t="s">
        <v>110</v>
      </c>
      <c r="C712" s="4">
        <v>11</v>
      </c>
      <c r="D712" s="8">
        <v>1.56</v>
      </c>
      <c r="E712" s="4">
        <v>8</v>
      </c>
      <c r="F712" s="8">
        <v>1.8</v>
      </c>
      <c r="G712" s="4">
        <v>3</v>
      </c>
      <c r="H712" s="8">
        <v>1.24</v>
      </c>
      <c r="I712" s="4">
        <v>0</v>
      </c>
    </row>
    <row r="713" spans="1:9" x14ac:dyDescent="0.2">
      <c r="A713" s="2">
        <v>17</v>
      </c>
      <c r="B713" s="1" t="s">
        <v>108</v>
      </c>
      <c r="C713" s="4">
        <v>10</v>
      </c>
      <c r="D713" s="8">
        <v>1.42</v>
      </c>
      <c r="E713" s="4">
        <v>4</v>
      </c>
      <c r="F713" s="8">
        <v>0.9</v>
      </c>
      <c r="G713" s="4">
        <v>5</v>
      </c>
      <c r="H713" s="8">
        <v>2.0699999999999998</v>
      </c>
      <c r="I713" s="4">
        <v>1</v>
      </c>
    </row>
    <row r="714" spans="1:9" x14ac:dyDescent="0.2">
      <c r="A714" s="2">
        <v>18</v>
      </c>
      <c r="B714" s="1" t="s">
        <v>116</v>
      </c>
      <c r="C714" s="4">
        <v>9</v>
      </c>
      <c r="D714" s="8">
        <v>1.28</v>
      </c>
      <c r="E714" s="4">
        <v>0</v>
      </c>
      <c r="F714" s="8">
        <v>0</v>
      </c>
      <c r="G714" s="4">
        <v>9</v>
      </c>
      <c r="H714" s="8">
        <v>3.73</v>
      </c>
      <c r="I714" s="4">
        <v>0</v>
      </c>
    </row>
    <row r="715" spans="1:9" x14ac:dyDescent="0.2">
      <c r="A715" s="2">
        <v>19</v>
      </c>
      <c r="B715" s="1" t="s">
        <v>86</v>
      </c>
      <c r="C715" s="4">
        <v>8</v>
      </c>
      <c r="D715" s="8">
        <v>1.1399999999999999</v>
      </c>
      <c r="E715" s="4">
        <v>7</v>
      </c>
      <c r="F715" s="8">
        <v>1.58</v>
      </c>
      <c r="G715" s="4">
        <v>1</v>
      </c>
      <c r="H715" s="8">
        <v>0.41</v>
      </c>
      <c r="I715" s="4">
        <v>0</v>
      </c>
    </row>
    <row r="716" spans="1:9" x14ac:dyDescent="0.2">
      <c r="A716" s="2">
        <v>19</v>
      </c>
      <c r="B716" s="1" t="s">
        <v>104</v>
      </c>
      <c r="C716" s="4">
        <v>8</v>
      </c>
      <c r="D716" s="8">
        <v>1.1399999999999999</v>
      </c>
      <c r="E716" s="4">
        <v>6</v>
      </c>
      <c r="F716" s="8">
        <v>1.35</v>
      </c>
      <c r="G716" s="4">
        <v>2</v>
      </c>
      <c r="H716" s="8">
        <v>0.83</v>
      </c>
      <c r="I716" s="4">
        <v>0</v>
      </c>
    </row>
    <row r="717" spans="1:9" x14ac:dyDescent="0.2">
      <c r="A717" s="1"/>
      <c r="C717" s="4"/>
      <c r="D717" s="8"/>
      <c r="E717" s="4"/>
      <c r="F717" s="8"/>
      <c r="G717" s="4"/>
      <c r="H717" s="8"/>
      <c r="I717" s="4"/>
    </row>
    <row r="718" spans="1:9" x14ac:dyDescent="0.2">
      <c r="A718" s="1" t="s">
        <v>32</v>
      </c>
      <c r="C718" s="4"/>
      <c r="D718" s="8"/>
      <c r="E718" s="4"/>
      <c r="F718" s="8"/>
      <c r="G718" s="4"/>
      <c r="H718" s="8"/>
      <c r="I718" s="4"/>
    </row>
    <row r="719" spans="1:9" x14ac:dyDescent="0.2">
      <c r="A719" s="2">
        <v>1</v>
      </c>
      <c r="B719" s="1" t="s">
        <v>74</v>
      </c>
      <c r="C719" s="4">
        <v>204</v>
      </c>
      <c r="D719" s="8">
        <v>10.94</v>
      </c>
      <c r="E719" s="4">
        <v>110</v>
      </c>
      <c r="F719" s="8">
        <v>9.34</v>
      </c>
      <c r="G719" s="4">
        <v>94</v>
      </c>
      <c r="H719" s="8">
        <v>14.35</v>
      </c>
      <c r="I719" s="4">
        <v>0</v>
      </c>
    </row>
    <row r="720" spans="1:9" x14ac:dyDescent="0.2">
      <c r="A720" s="2">
        <v>2</v>
      </c>
      <c r="B720" s="1" t="s">
        <v>89</v>
      </c>
      <c r="C720" s="4">
        <v>172</v>
      </c>
      <c r="D720" s="8">
        <v>9.23</v>
      </c>
      <c r="E720" s="4">
        <v>156</v>
      </c>
      <c r="F720" s="8">
        <v>13.24</v>
      </c>
      <c r="G720" s="4">
        <v>16</v>
      </c>
      <c r="H720" s="8">
        <v>2.44</v>
      </c>
      <c r="I720" s="4">
        <v>0</v>
      </c>
    </row>
    <row r="721" spans="1:9" x14ac:dyDescent="0.2">
      <c r="A721" s="2">
        <v>3</v>
      </c>
      <c r="B721" s="1" t="s">
        <v>75</v>
      </c>
      <c r="C721" s="4">
        <v>141</v>
      </c>
      <c r="D721" s="8">
        <v>7.56</v>
      </c>
      <c r="E721" s="4">
        <v>115</v>
      </c>
      <c r="F721" s="8">
        <v>9.76</v>
      </c>
      <c r="G721" s="4">
        <v>26</v>
      </c>
      <c r="H721" s="8">
        <v>3.97</v>
      </c>
      <c r="I721" s="4">
        <v>0</v>
      </c>
    </row>
    <row r="722" spans="1:9" x14ac:dyDescent="0.2">
      <c r="A722" s="2">
        <v>4</v>
      </c>
      <c r="B722" s="1" t="s">
        <v>83</v>
      </c>
      <c r="C722" s="4">
        <v>127</v>
      </c>
      <c r="D722" s="8">
        <v>6.81</v>
      </c>
      <c r="E722" s="4">
        <v>71</v>
      </c>
      <c r="F722" s="8">
        <v>6.03</v>
      </c>
      <c r="G722" s="4">
        <v>56</v>
      </c>
      <c r="H722" s="8">
        <v>8.5500000000000007</v>
      </c>
      <c r="I722" s="4">
        <v>0</v>
      </c>
    </row>
    <row r="723" spans="1:9" x14ac:dyDescent="0.2">
      <c r="A723" s="2">
        <v>5</v>
      </c>
      <c r="B723" s="1" t="s">
        <v>88</v>
      </c>
      <c r="C723" s="4">
        <v>110</v>
      </c>
      <c r="D723" s="8">
        <v>5.9</v>
      </c>
      <c r="E723" s="4">
        <v>99</v>
      </c>
      <c r="F723" s="8">
        <v>8.4</v>
      </c>
      <c r="G723" s="4">
        <v>11</v>
      </c>
      <c r="H723" s="8">
        <v>1.68</v>
      </c>
      <c r="I723" s="4">
        <v>0</v>
      </c>
    </row>
    <row r="724" spans="1:9" x14ac:dyDescent="0.2">
      <c r="A724" s="2">
        <v>6</v>
      </c>
      <c r="B724" s="1" t="s">
        <v>81</v>
      </c>
      <c r="C724" s="4">
        <v>79</v>
      </c>
      <c r="D724" s="8">
        <v>4.24</v>
      </c>
      <c r="E724" s="4">
        <v>67</v>
      </c>
      <c r="F724" s="8">
        <v>5.69</v>
      </c>
      <c r="G724" s="4">
        <v>12</v>
      </c>
      <c r="H724" s="8">
        <v>1.83</v>
      </c>
      <c r="I724" s="4">
        <v>0</v>
      </c>
    </row>
    <row r="725" spans="1:9" x14ac:dyDescent="0.2">
      <c r="A725" s="2">
        <v>7</v>
      </c>
      <c r="B725" s="1" t="s">
        <v>91</v>
      </c>
      <c r="C725" s="4">
        <v>76</v>
      </c>
      <c r="D725" s="8">
        <v>4.08</v>
      </c>
      <c r="E725" s="4">
        <v>50</v>
      </c>
      <c r="F725" s="8">
        <v>4.24</v>
      </c>
      <c r="G725" s="4">
        <v>13</v>
      </c>
      <c r="H725" s="8">
        <v>1.98</v>
      </c>
      <c r="I725" s="4">
        <v>0</v>
      </c>
    </row>
    <row r="726" spans="1:9" x14ac:dyDescent="0.2">
      <c r="A726" s="2">
        <v>8</v>
      </c>
      <c r="B726" s="1" t="s">
        <v>76</v>
      </c>
      <c r="C726" s="4">
        <v>74</v>
      </c>
      <c r="D726" s="8">
        <v>3.97</v>
      </c>
      <c r="E726" s="4">
        <v>47</v>
      </c>
      <c r="F726" s="8">
        <v>3.99</v>
      </c>
      <c r="G726" s="4">
        <v>27</v>
      </c>
      <c r="H726" s="8">
        <v>4.12</v>
      </c>
      <c r="I726" s="4">
        <v>0</v>
      </c>
    </row>
    <row r="727" spans="1:9" x14ac:dyDescent="0.2">
      <c r="A727" s="2">
        <v>9</v>
      </c>
      <c r="B727" s="1" t="s">
        <v>82</v>
      </c>
      <c r="C727" s="4">
        <v>72</v>
      </c>
      <c r="D727" s="8">
        <v>3.86</v>
      </c>
      <c r="E727" s="4">
        <v>53</v>
      </c>
      <c r="F727" s="8">
        <v>4.5</v>
      </c>
      <c r="G727" s="4">
        <v>19</v>
      </c>
      <c r="H727" s="8">
        <v>2.9</v>
      </c>
      <c r="I727" s="4">
        <v>0</v>
      </c>
    </row>
    <row r="728" spans="1:9" x14ac:dyDescent="0.2">
      <c r="A728" s="2">
        <v>10</v>
      </c>
      <c r="B728" s="1" t="s">
        <v>85</v>
      </c>
      <c r="C728" s="4">
        <v>60</v>
      </c>
      <c r="D728" s="8">
        <v>3.22</v>
      </c>
      <c r="E728" s="4">
        <v>24</v>
      </c>
      <c r="F728" s="8">
        <v>2.04</v>
      </c>
      <c r="G728" s="4">
        <v>36</v>
      </c>
      <c r="H728" s="8">
        <v>5.5</v>
      </c>
      <c r="I728" s="4">
        <v>0</v>
      </c>
    </row>
    <row r="729" spans="1:9" x14ac:dyDescent="0.2">
      <c r="A729" s="2">
        <v>11</v>
      </c>
      <c r="B729" s="1" t="s">
        <v>80</v>
      </c>
      <c r="C729" s="4">
        <v>53</v>
      </c>
      <c r="D729" s="8">
        <v>2.84</v>
      </c>
      <c r="E729" s="4">
        <v>35</v>
      </c>
      <c r="F729" s="8">
        <v>2.97</v>
      </c>
      <c r="G729" s="4">
        <v>18</v>
      </c>
      <c r="H729" s="8">
        <v>2.75</v>
      </c>
      <c r="I729" s="4">
        <v>0</v>
      </c>
    </row>
    <row r="730" spans="1:9" x14ac:dyDescent="0.2">
      <c r="A730" s="2">
        <v>12</v>
      </c>
      <c r="B730" s="1" t="s">
        <v>86</v>
      </c>
      <c r="C730" s="4">
        <v>47</v>
      </c>
      <c r="D730" s="8">
        <v>2.52</v>
      </c>
      <c r="E730" s="4">
        <v>39</v>
      </c>
      <c r="F730" s="8">
        <v>3.31</v>
      </c>
      <c r="G730" s="4">
        <v>8</v>
      </c>
      <c r="H730" s="8">
        <v>1.22</v>
      </c>
      <c r="I730" s="4">
        <v>0</v>
      </c>
    </row>
    <row r="731" spans="1:9" x14ac:dyDescent="0.2">
      <c r="A731" s="2">
        <v>13</v>
      </c>
      <c r="B731" s="1" t="s">
        <v>93</v>
      </c>
      <c r="C731" s="4">
        <v>44</v>
      </c>
      <c r="D731" s="8">
        <v>2.36</v>
      </c>
      <c r="E731" s="4">
        <v>0</v>
      </c>
      <c r="F731" s="8">
        <v>0</v>
      </c>
      <c r="G731" s="4">
        <v>37</v>
      </c>
      <c r="H731" s="8">
        <v>5.65</v>
      </c>
      <c r="I731" s="4">
        <v>0</v>
      </c>
    </row>
    <row r="732" spans="1:9" x14ac:dyDescent="0.2">
      <c r="A732" s="2">
        <v>14</v>
      </c>
      <c r="B732" s="1" t="s">
        <v>110</v>
      </c>
      <c r="C732" s="4">
        <v>42</v>
      </c>
      <c r="D732" s="8">
        <v>2.25</v>
      </c>
      <c r="E732" s="4">
        <v>27</v>
      </c>
      <c r="F732" s="8">
        <v>2.29</v>
      </c>
      <c r="G732" s="4">
        <v>15</v>
      </c>
      <c r="H732" s="8">
        <v>2.29</v>
      </c>
      <c r="I732" s="4">
        <v>0</v>
      </c>
    </row>
    <row r="733" spans="1:9" x14ac:dyDescent="0.2">
      <c r="A733" s="2">
        <v>15</v>
      </c>
      <c r="B733" s="1" t="s">
        <v>92</v>
      </c>
      <c r="C733" s="4">
        <v>33</v>
      </c>
      <c r="D733" s="8">
        <v>1.77</v>
      </c>
      <c r="E733" s="4">
        <v>29</v>
      </c>
      <c r="F733" s="8">
        <v>2.46</v>
      </c>
      <c r="G733" s="4">
        <v>4</v>
      </c>
      <c r="H733" s="8">
        <v>0.61</v>
      </c>
      <c r="I733" s="4">
        <v>0</v>
      </c>
    </row>
    <row r="734" spans="1:9" x14ac:dyDescent="0.2">
      <c r="A734" s="2">
        <v>16</v>
      </c>
      <c r="B734" s="1" t="s">
        <v>111</v>
      </c>
      <c r="C734" s="4">
        <v>30</v>
      </c>
      <c r="D734" s="8">
        <v>1.61</v>
      </c>
      <c r="E734" s="4">
        <v>24</v>
      </c>
      <c r="F734" s="8">
        <v>2.04</v>
      </c>
      <c r="G734" s="4">
        <v>6</v>
      </c>
      <c r="H734" s="8">
        <v>0.92</v>
      </c>
      <c r="I734" s="4">
        <v>0</v>
      </c>
    </row>
    <row r="735" spans="1:9" x14ac:dyDescent="0.2">
      <c r="A735" s="2">
        <v>16</v>
      </c>
      <c r="B735" s="1" t="s">
        <v>87</v>
      </c>
      <c r="C735" s="4">
        <v>30</v>
      </c>
      <c r="D735" s="8">
        <v>1.61</v>
      </c>
      <c r="E735" s="4">
        <v>16</v>
      </c>
      <c r="F735" s="8">
        <v>1.36</v>
      </c>
      <c r="G735" s="4">
        <v>14</v>
      </c>
      <c r="H735" s="8">
        <v>2.14</v>
      </c>
      <c r="I735" s="4">
        <v>0</v>
      </c>
    </row>
    <row r="736" spans="1:9" x14ac:dyDescent="0.2">
      <c r="A736" s="2">
        <v>18</v>
      </c>
      <c r="B736" s="1" t="s">
        <v>90</v>
      </c>
      <c r="C736" s="4">
        <v>26</v>
      </c>
      <c r="D736" s="8">
        <v>1.39</v>
      </c>
      <c r="E736" s="4">
        <v>12</v>
      </c>
      <c r="F736" s="8">
        <v>1.02</v>
      </c>
      <c r="G736" s="4">
        <v>14</v>
      </c>
      <c r="H736" s="8">
        <v>2.14</v>
      </c>
      <c r="I736" s="4">
        <v>0</v>
      </c>
    </row>
    <row r="737" spans="1:9" x14ac:dyDescent="0.2">
      <c r="A737" s="2">
        <v>19</v>
      </c>
      <c r="B737" s="1" t="s">
        <v>97</v>
      </c>
      <c r="C737" s="4">
        <v>25</v>
      </c>
      <c r="D737" s="8">
        <v>1.34</v>
      </c>
      <c r="E737" s="4">
        <v>14</v>
      </c>
      <c r="F737" s="8">
        <v>1.19</v>
      </c>
      <c r="G737" s="4">
        <v>11</v>
      </c>
      <c r="H737" s="8">
        <v>1.68</v>
      </c>
      <c r="I737" s="4">
        <v>0</v>
      </c>
    </row>
    <row r="738" spans="1:9" x14ac:dyDescent="0.2">
      <c r="A738" s="2">
        <v>20</v>
      </c>
      <c r="B738" s="1" t="s">
        <v>117</v>
      </c>
      <c r="C738" s="4">
        <v>23</v>
      </c>
      <c r="D738" s="8">
        <v>1.23</v>
      </c>
      <c r="E738" s="4">
        <v>16</v>
      </c>
      <c r="F738" s="8">
        <v>1.36</v>
      </c>
      <c r="G738" s="4">
        <v>7</v>
      </c>
      <c r="H738" s="8">
        <v>1.07</v>
      </c>
      <c r="I738" s="4">
        <v>0</v>
      </c>
    </row>
    <row r="739" spans="1:9" x14ac:dyDescent="0.2">
      <c r="A739" s="1"/>
      <c r="C739" s="4"/>
      <c r="D739" s="8"/>
      <c r="E739" s="4"/>
      <c r="F739" s="8"/>
      <c r="G739" s="4"/>
      <c r="H739" s="8"/>
      <c r="I739" s="4"/>
    </row>
    <row r="740" spans="1:9" x14ac:dyDescent="0.2">
      <c r="A740" s="1" t="s">
        <v>33</v>
      </c>
      <c r="C740" s="4"/>
      <c r="D740" s="8"/>
      <c r="E740" s="4"/>
      <c r="F740" s="8"/>
      <c r="G740" s="4"/>
      <c r="H740" s="8"/>
      <c r="I740" s="4"/>
    </row>
    <row r="741" spans="1:9" x14ac:dyDescent="0.2">
      <c r="A741" s="2">
        <v>1</v>
      </c>
      <c r="B741" s="1" t="s">
        <v>88</v>
      </c>
      <c r="C741" s="4">
        <v>152</v>
      </c>
      <c r="D741" s="8">
        <v>9.66</v>
      </c>
      <c r="E741" s="4">
        <v>145</v>
      </c>
      <c r="F741" s="8">
        <v>13.36</v>
      </c>
      <c r="G741" s="4">
        <v>7</v>
      </c>
      <c r="H741" s="8">
        <v>1.49</v>
      </c>
      <c r="I741" s="4">
        <v>0</v>
      </c>
    </row>
    <row r="742" spans="1:9" x14ac:dyDescent="0.2">
      <c r="A742" s="2">
        <v>2</v>
      </c>
      <c r="B742" s="1" t="s">
        <v>89</v>
      </c>
      <c r="C742" s="4">
        <v>144</v>
      </c>
      <c r="D742" s="8">
        <v>9.15</v>
      </c>
      <c r="E742" s="4">
        <v>138</v>
      </c>
      <c r="F742" s="8">
        <v>12.72</v>
      </c>
      <c r="G742" s="4">
        <v>6</v>
      </c>
      <c r="H742" s="8">
        <v>1.27</v>
      </c>
      <c r="I742" s="4">
        <v>0</v>
      </c>
    </row>
    <row r="743" spans="1:9" x14ac:dyDescent="0.2">
      <c r="A743" s="2">
        <v>3</v>
      </c>
      <c r="B743" s="1" t="s">
        <v>83</v>
      </c>
      <c r="C743" s="4">
        <v>137</v>
      </c>
      <c r="D743" s="8">
        <v>8.7100000000000009</v>
      </c>
      <c r="E743" s="4">
        <v>88</v>
      </c>
      <c r="F743" s="8">
        <v>8.11</v>
      </c>
      <c r="G743" s="4">
        <v>49</v>
      </c>
      <c r="H743" s="8">
        <v>10.4</v>
      </c>
      <c r="I743" s="4">
        <v>0</v>
      </c>
    </row>
    <row r="744" spans="1:9" x14ac:dyDescent="0.2">
      <c r="A744" s="2">
        <v>4</v>
      </c>
      <c r="B744" s="1" t="s">
        <v>81</v>
      </c>
      <c r="C744" s="4">
        <v>110</v>
      </c>
      <c r="D744" s="8">
        <v>6.99</v>
      </c>
      <c r="E744" s="4">
        <v>95</v>
      </c>
      <c r="F744" s="8">
        <v>8.76</v>
      </c>
      <c r="G744" s="4">
        <v>15</v>
      </c>
      <c r="H744" s="8">
        <v>3.18</v>
      </c>
      <c r="I744" s="4">
        <v>0</v>
      </c>
    </row>
    <row r="745" spans="1:9" x14ac:dyDescent="0.2">
      <c r="A745" s="2">
        <v>5</v>
      </c>
      <c r="B745" s="1" t="s">
        <v>85</v>
      </c>
      <c r="C745" s="4">
        <v>106</v>
      </c>
      <c r="D745" s="8">
        <v>6.74</v>
      </c>
      <c r="E745" s="4">
        <v>75</v>
      </c>
      <c r="F745" s="8">
        <v>6.91</v>
      </c>
      <c r="G745" s="4">
        <v>31</v>
      </c>
      <c r="H745" s="8">
        <v>6.58</v>
      </c>
      <c r="I745" s="4">
        <v>0</v>
      </c>
    </row>
    <row r="746" spans="1:9" x14ac:dyDescent="0.2">
      <c r="A746" s="2">
        <v>6</v>
      </c>
      <c r="B746" s="1" t="s">
        <v>74</v>
      </c>
      <c r="C746" s="4">
        <v>83</v>
      </c>
      <c r="D746" s="8">
        <v>5.28</v>
      </c>
      <c r="E746" s="4">
        <v>34</v>
      </c>
      <c r="F746" s="8">
        <v>3.13</v>
      </c>
      <c r="G746" s="4">
        <v>49</v>
      </c>
      <c r="H746" s="8">
        <v>10.4</v>
      </c>
      <c r="I746" s="4">
        <v>0</v>
      </c>
    </row>
    <row r="747" spans="1:9" x14ac:dyDescent="0.2">
      <c r="A747" s="2">
        <v>7</v>
      </c>
      <c r="B747" s="1" t="s">
        <v>116</v>
      </c>
      <c r="C747" s="4">
        <v>82</v>
      </c>
      <c r="D747" s="8">
        <v>5.21</v>
      </c>
      <c r="E747" s="4">
        <v>57</v>
      </c>
      <c r="F747" s="8">
        <v>5.25</v>
      </c>
      <c r="G747" s="4">
        <v>25</v>
      </c>
      <c r="H747" s="8">
        <v>5.31</v>
      </c>
      <c r="I747" s="4">
        <v>0</v>
      </c>
    </row>
    <row r="748" spans="1:9" x14ac:dyDescent="0.2">
      <c r="A748" s="2">
        <v>8</v>
      </c>
      <c r="B748" s="1" t="s">
        <v>91</v>
      </c>
      <c r="C748" s="4">
        <v>55</v>
      </c>
      <c r="D748" s="8">
        <v>3.5</v>
      </c>
      <c r="E748" s="4">
        <v>43</v>
      </c>
      <c r="F748" s="8">
        <v>3.96</v>
      </c>
      <c r="G748" s="4">
        <v>5</v>
      </c>
      <c r="H748" s="8">
        <v>1.06</v>
      </c>
      <c r="I748" s="4">
        <v>0</v>
      </c>
    </row>
    <row r="749" spans="1:9" x14ac:dyDescent="0.2">
      <c r="A749" s="2">
        <v>9</v>
      </c>
      <c r="B749" s="1" t="s">
        <v>75</v>
      </c>
      <c r="C749" s="4">
        <v>53</v>
      </c>
      <c r="D749" s="8">
        <v>3.37</v>
      </c>
      <c r="E749" s="4">
        <v>39</v>
      </c>
      <c r="F749" s="8">
        <v>3.59</v>
      </c>
      <c r="G749" s="4">
        <v>14</v>
      </c>
      <c r="H749" s="8">
        <v>2.97</v>
      </c>
      <c r="I749" s="4">
        <v>0</v>
      </c>
    </row>
    <row r="750" spans="1:9" x14ac:dyDescent="0.2">
      <c r="A750" s="2">
        <v>10</v>
      </c>
      <c r="B750" s="1" t="s">
        <v>82</v>
      </c>
      <c r="C750" s="4">
        <v>52</v>
      </c>
      <c r="D750" s="8">
        <v>3.31</v>
      </c>
      <c r="E750" s="4">
        <v>40</v>
      </c>
      <c r="F750" s="8">
        <v>3.69</v>
      </c>
      <c r="G750" s="4">
        <v>12</v>
      </c>
      <c r="H750" s="8">
        <v>2.5499999999999998</v>
      </c>
      <c r="I750" s="4">
        <v>0</v>
      </c>
    </row>
    <row r="751" spans="1:9" x14ac:dyDescent="0.2">
      <c r="A751" s="2">
        <v>11</v>
      </c>
      <c r="B751" s="1" t="s">
        <v>80</v>
      </c>
      <c r="C751" s="4">
        <v>46</v>
      </c>
      <c r="D751" s="8">
        <v>2.92</v>
      </c>
      <c r="E751" s="4">
        <v>34</v>
      </c>
      <c r="F751" s="8">
        <v>3.13</v>
      </c>
      <c r="G751" s="4">
        <v>12</v>
      </c>
      <c r="H751" s="8">
        <v>2.5499999999999998</v>
      </c>
      <c r="I751" s="4">
        <v>0</v>
      </c>
    </row>
    <row r="752" spans="1:9" x14ac:dyDescent="0.2">
      <c r="A752" s="2">
        <v>12</v>
      </c>
      <c r="B752" s="1" t="s">
        <v>108</v>
      </c>
      <c r="C752" s="4">
        <v>43</v>
      </c>
      <c r="D752" s="8">
        <v>2.73</v>
      </c>
      <c r="E752" s="4">
        <v>24</v>
      </c>
      <c r="F752" s="8">
        <v>2.21</v>
      </c>
      <c r="G752" s="4">
        <v>19</v>
      </c>
      <c r="H752" s="8">
        <v>4.03</v>
      </c>
      <c r="I752" s="4">
        <v>0</v>
      </c>
    </row>
    <row r="753" spans="1:9" x14ac:dyDescent="0.2">
      <c r="A753" s="2">
        <v>13</v>
      </c>
      <c r="B753" s="1" t="s">
        <v>92</v>
      </c>
      <c r="C753" s="4">
        <v>42</v>
      </c>
      <c r="D753" s="8">
        <v>2.67</v>
      </c>
      <c r="E753" s="4">
        <v>40</v>
      </c>
      <c r="F753" s="8">
        <v>3.69</v>
      </c>
      <c r="G753" s="4">
        <v>2</v>
      </c>
      <c r="H753" s="8">
        <v>0.42</v>
      </c>
      <c r="I753" s="4">
        <v>0</v>
      </c>
    </row>
    <row r="754" spans="1:9" x14ac:dyDescent="0.2">
      <c r="A754" s="2">
        <v>14</v>
      </c>
      <c r="B754" s="1" t="s">
        <v>104</v>
      </c>
      <c r="C754" s="4">
        <v>38</v>
      </c>
      <c r="D754" s="8">
        <v>2.42</v>
      </c>
      <c r="E754" s="4">
        <v>35</v>
      </c>
      <c r="F754" s="8">
        <v>3.23</v>
      </c>
      <c r="G754" s="4">
        <v>3</v>
      </c>
      <c r="H754" s="8">
        <v>0.64</v>
      </c>
      <c r="I754" s="4">
        <v>0</v>
      </c>
    </row>
    <row r="755" spans="1:9" x14ac:dyDescent="0.2">
      <c r="A755" s="2">
        <v>15</v>
      </c>
      <c r="B755" s="1" t="s">
        <v>76</v>
      </c>
      <c r="C755" s="4">
        <v>35</v>
      </c>
      <c r="D755" s="8">
        <v>2.23</v>
      </c>
      <c r="E755" s="4">
        <v>25</v>
      </c>
      <c r="F755" s="8">
        <v>2.2999999999999998</v>
      </c>
      <c r="G755" s="4">
        <v>10</v>
      </c>
      <c r="H755" s="8">
        <v>2.12</v>
      </c>
      <c r="I755" s="4">
        <v>0</v>
      </c>
    </row>
    <row r="756" spans="1:9" x14ac:dyDescent="0.2">
      <c r="A756" s="2">
        <v>15</v>
      </c>
      <c r="B756" s="1" t="s">
        <v>97</v>
      </c>
      <c r="C756" s="4">
        <v>35</v>
      </c>
      <c r="D756" s="8">
        <v>2.23</v>
      </c>
      <c r="E756" s="4">
        <v>7</v>
      </c>
      <c r="F756" s="8">
        <v>0.65</v>
      </c>
      <c r="G756" s="4">
        <v>28</v>
      </c>
      <c r="H756" s="8">
        <v>5.94</v>
      </c>
      <c r="I756" s="4">
        <v>0</v>
      </c>
    </row>
    <row r="757" spans="1:9" x14ac:dyDescent="0.2">
      <c r="A757" s="2">
        <v>17</v>
      </c>
      <c r="B757" s="1" t="s">
        <v>95</v>
      </c>
      <c r="C757" s="4">
        <v>33</v>
      </c>
      <c r="D757" s="8">
        <v>2.1</v>
      </c>
      <c r="E757" s="4">
        <v>12</v>
      </c>
      <c r="F757" s="8">
        <v>1.1100000000000001</v>
      </c>
      <c r="G757" s="4">
        <v>21</v>
      </c>
      <c r="H757" s="8">
        <v>4.46</v>
      </c>
      <c r="I757" s="4">
        <v>0</v>
      </c>
    </row>
    <row r="758" spans="1:9" x14ac:dyDescent="0.2">
      <c r="A758" s="2">
        <v>18</v>
      </c>
      <c r="B758" s="1" t="s">
        <v>87</v>
      </c>
      <c r="C758" s="4">
        <v>31</v>
      </c>
      <c r="D758" s="8">
        <v>1.97</v>
      </c>
      <c r="E758" s="4">
        <v>22</v>
      </c>
      <c r="F758" s="8">
        <v>2.0299999999999998</v>
      </c>
      <c r="G758" s="4">
        <v>9</v>
      </c>
      <c r="H758" s="8">
        <v>1.91</v>
      </c>
      <c r="I758" s="4">
        <v>0</v>
      </c>
    </row>
    <row r="759" spans="1:9" x14ac:dyDescent="0.2">
      <c r="A759" s="2">
        <v>19</v>
      </c>
      <c r="B759" s="1" t="s">
        <v>105</v>
      </c>
      <c r="C759" s="4">
        <v>27</v>
      </c>
      <c r="D759" s="8">
        <v>1.72</v>
      </c>
      <c r="E759" s="4">
        <v>24</v>
      </c>
      <c r="F759" s="8">
        <v>2.21</v>
      </c>
      <c r="G759" s="4">
        <v>2</v>
      </c>
      <c r="H759" s="8">
        <v>0.42</v>
      </c>
      <c r="I759" s="4">
        <v>1</v>
      </c>
    </row>
    <row r="760" spans="1:9" x14ac:dyDescent="0.2">
      <c r="A760" s="2">
        <v>20</v>
      </c>
      <c r="B760" s="1" t="s">
        <v>79</v>
      </c>
      <c r="C760" s="4">
        <v>20</v>
      </c>
      <c r="D760" s="8">
        <v>1.27</v>
      </c>
      <c r="E760" s="4">
        <v>10</v>
      </c>
      <c r="F760" s="8">
        <v>0.92</v>
      </c>
      <c r="G760" s="4">
        <v>10</v>
      </c>
      <c r="H760" s="8">
        <v>2.12</v>
      </c>
      <c r="I760" s="4">
        <v>0</v>
      </c>
    </row>
    <row r="761" spans="1:9" x14ac:dyDescent="0.2">
      <c r="A761" s="1"/>
      <c r="C761" s="4"/>
      <c r="D761" s="8"/>
      <c r="E761" s="4"/>
      <c r="F761" s="8"/>
      <c r="G761" s="4"/>
      <c r="H761" s="8"/>
      <c r="I761" s="4"/>
    </row>
    <row r="762" spans="1:9" x14ac:dyDescent="0.2">
      <c r="A762" s="1" t="s">
        <v>34</v>
      </c>
      <c r="C762" s="4"/>
      <c r="D762" s="8"/>
      <c r="E762" s="4"/>
      <c r="F762" s="8"/>
      <c r="G762" s="4"/>
      <c r="H762" s="8"/>
      <c r="I762" s="4"/>
    </row>
    <row r="763" spans="1:9" x14ac:dyDescent="0.2">
      <c r="A763" s="2">
        <v>1</v>
      </c>
      <c r="B763" s="1" t="s">
        <v>89</v>
      </c>
      <c r="C763" s="4">
        <v>101</v>
      </c>
      <c r="D763" s="8">
        <v>10.77</v>
      </c>
      <c r="E763" s="4">
        <v>96</v>
      </c>
      <c r="F763" s="8">
        <v>16.78</v>
      </c>
      <c r="G763" s="4">
        <v>5</v>
      </c>
      <c r="H763" s="8">
        <v>1.46</v>
      </c>
      <c r="I763" s="4">
        <v>0</v>
      </c>
    </row>
    <row r="764" spans="1:9" x14ac:dyDescent="0.2">
      <c r="A764" s="2">
        <v>2</v>
      </c>
      <c r="B764" s="1" t="s">
        <v>88</v>
      </c>
      <c r="C764" s="4">
        <v>98</v>
      </c>
      <c r="D764" s="8">
        <v>10.45</v>
      </c>
      <c r="E764" s="4">
        <v>88</v>
      </c>
      <c r="F764" s="8">
        <v>15.38</v>
      </c>
      <c r="G764" s="4">
        <v>10</v>
      </c>
      <c r="H764" s="8">
        <v>2.92</v>
      </c>
      <c r="I764" s="4">
        <v>0</v>
      </c>
    </row>
    <row r="765" spans="1:9" x14ac:dyDescent="0.2">
      <c r="A765" s="2">
        <v>3</v>
      </c>
      <c r="B765" s="1" t="s">
        <v>83</v>
      </c>
      <c r="C765" s="4">
        <v>93</v>
      </c>
      <c r="D765" s="8">
        <v>9.91</v>
      </c>
      <c r="E765" s="4">
        <v>50</v>
      </c>
      <c r="F765" s="8">
        <v>8.74</v>
      </c>
      <c r="G765" s="4">
        <v>43</v>
      </c>
      <c r="H765" s="8">
        <v>12.57</v>
      </c>
      <c r="I765" s="4">
        <v>0</v>
      </c>
    </row>
    <row r="766" spans="1:9" x14ac:dyDescent="0.2">
      <c r="A766" s="2">
        <v>4</v>
      </c>
      <c r="B766" s="1" t="s">
        <v>74</v>
      </c>
      <c r="C766" s="4">
        <v>76</v>
      </c>
      <c r="D766" s="8">
        <v>8.1</v>
      </c>
      <c r="E766" s="4">
        <v>25</v>
      </c>
      <c r="F766" s="8">
        <v>4.37</v>
      </c>
      <c r="G766" s="4">
        <v>51</v>
      </c>
      <c r="H766" s="8">
        <v>14.91</v>
      </c>
      <c r="I766" s="4">
        <v>0</v>
      </c>
    </row>
    <row r="767" spans="1:9" x14ac:dyDescent="0.2">
      <c r="A767" s="2">
        <v>5</v>
      </c>
      <c r="B767" s="1" t="s">
        <v>85</v>
      </c>
      <c r="C767" s="4">
        <v>48</v>
      </c>
      <c r="D767" s="8">
        <v>5.12</v>
      </c>
      <c r="E767" s="4">
        <v>37</v>
      </c>
      <c r="F767" s="8">
        <v>6.47</v>
      </c>
      <c r="G767" s="4">
        <v>10</v>
      </c>
      <c r="H767" s="8">
        <v>2.92</v>
      </c>
      <c r="I767" s="4">
        <v>1</v>
      </c>
    </row>
    <row r="768" spans="1:9" x14ac:dyDescent="0.2">
      <c r="A768" s="2">
        <v>6</v>
      </c>
      <c r="B768" s="1" t="s">
        <v>91</v>
      </c>
      <c r="C768" s="4">
        <v>42</v>
      </c>
      <c r="D768" s="8">
        <v>4.4800000000000004</v>
      </c>
      <c r="E768" s="4">
        <v>31</v>
      </c>
      <c r="F768" s="8">
        <v>5.42</v>
      </c>
      <c r="G768" s="4">
        <v>5</v>
      </c>
      <c r="H768" s="8">
        <v>1.46</v>
      </c>
      <c r="I768" s="4">
        <v>0</v>
      </c>
    </row>
    <row r="769" spans="1:9" x14ac:dyDescent="0.2">
      <c r="A769" s="2">
        <v>7</v>
      </c>
      <c r="B769" s="1" t="s">
        <v>81</v>
      </c>
      <c r="C769" s="4">
        <v>40</v>
      </c>
      <c r="D769" s="8">
        <v>4.26</v>
      </c>
      <c r="E769" s="4">
        <v>33</v>
      </c>
      <c r="F769" s="8">
        <v>5.77</v>
      </c>
      <c r="G769" s="4">
        <v>6</v>
      </c>
      <c r="H769" s="8">
        <v>1.75</v>
      </c>
      <c r="I769" s="4">
        <v>1</v>
      </c>
    </row>
    <row r="770" spans="1:9" x14ac:dyDescent="0.2">
      <c r="A770" s="2">
        <v>8</v>
      </c>
      <c r="B770" s="1" t="s">
        <v>75</v>
      </c>
      <c r="C770" s="4">
        <v>39</v>
      </c>
      <c r="D770" s="8">
        <v>4.16</v>
      </c>
      <c r="E770" s="4">
        <v>29</v>
      </c>
      <c r="F770" s="8">
        <v>5.07</v>
      </c>
      <c r="G770" s="4">
        <v>10</v>
      </c>
      <c r="H770" s="8">
        <v>2.92</v>
      </c>
      <c r="I770" s="4">
        <v>0</v>
      </c>
    </row>
    <row r="771" spans="1:9" x14ac:dyDescent="0.2">
      <c r="A771" s="2">
        <v>9</v>
      </c>
      <c r="B771" s="1" t="s">
        <v>82</v>
      </c>
      <c r="C771" s="4">
        <v>37</v>
      </c>
      <c r="D771" s="8">
        <v>3.94</v>
      </c>
      <c r="E771" s="4">
        <v>22</v>
      </c>
      <c r="F771" s="8">
        <v>3.85</v>
      </c>
      <c r="G771" s="4">
        <v>15</v>
      </c>
      <c r="H771" s="8">
        <v>4.3899999999999997</v>
      </c>
      <c r="I771" s="4">
        <v>0</v>
      </c>
    </row>
    <row r="772" spans="1:9" x14ac:dyDescent="0.2">
      <c r="A772" s="2">
        <v>10</v>
      </c>
      <c r="B772" s="1" t="s">
        <v>80</v>
      </c>
      <c r="C772" s="4">
        <v>28</v>
      </c>
      <c r="D772" s="8">
        <v>2.99</v>
      </c>
      <c r="E772" s="4">
        <v>18</v>
      </c>
      <c r="F772" s="8">
        <v>3.15</v>
      </c>
      <c r="G772" s="4">
        <v>10</v>
      </c>
      <c r="H772" s="8">
        <v>2.92</v>
      </c>
      <c r="I772" s="4">
        <v>0</v>
      </c>
    </row>
    <row r="773" spans="1:9" x14ac:dyDescent="0.2">
      <c r="A773" s="2">
        <v>11</v>
      </c>
      <c r="B773" s="1" t="s">
        <v>76</v>
      </c>
      <c r="C773" s="4">
        <v>25</v>
      </c>
      <c r="D773" s="8">
        <v>2.67</v>
      </c>
      <c r="E773" s="4">
        <v>11</v>
      </c>
      <c r="F773" s="8">
        <v>1.92</v>
      </c>
      <c r="G773" s="4">
        <v>14</v>
      </c>
      <c r="H773" s="8">
        <v>4.09</v>
      </c>
      <c r="I773" s="4">
        <v>0</v>
      </c>
    </row>
    <row r="774" spans="1:9" x14ac:dyDescent="0.2">
      <c r="A774" s="2">
        <v>12</v>
      </c>
      <c r="B774" s="1" t="s">
        <v>93</v>
      </c>
      <c r="C774" s="4">
        <v>21</v>
      </c>
      <c r="D774" s="8">
        <v>2.2400000000000002</v>
      </c>
      <c r="E774" s="4">
        <v>0</v>
      </c>
      <c r="F774" s="8">
        <v>0</v>
      </c>
      <c r="G774" s="4">
        <v>13</v>
      </c>
      <c r="H774" s="8">
        <v>3.8</v>
      </c>
      <c r="I774" s="4">
        <v>1</v>
      </c>
    </row>
    <row r="775" spans="1:9" x14ac:dyDescent="0.2">
      <c r="A775" s="2">
        <v>13</v>
      </c>
      <c r="B775" s="1" t="s">
        <v>92</v>
      </c>
      <c r="C775" s="4">
        <v>19</v>
      </c>
      <c r="D775" s="8">
        <v>2.0299999999999998</v>
      </c>
      <c r="E775" s="4">
        <v>18</v>
      </c>
      <c r="F775" s="8">
        <v>3.15</v>
      </c>
      <c r="G775" s="4">
        <v>1</v>
      </c>
      <c r="H775" s="8">
        <v>0.28999999999999998</v>
      </c>
      <c r="I775" s="4">
        <v>0</v>
      </c>
    </row>
    <row r="776" spans="1:9" x14ac:dyDescent="0.2">
      <c r="A776" s="2">
        <v>14</v>
      </c>
      <c r="B776" s="1" t="s">
        <v>87</v>
      </c>
      <c r="C776" s="4">
        <v>18</v>
      </c>
      <c r="D776" s="8">
        <v>1.92</v>
      </c>
      <c r="E776" s="4">
        <v>8</v>
      </c>
      <c r="F776" s="8">
        <v>1.4</v>
      </c>
      <c r="G776" s="4">
        <v>9</v>
      </c>
      <c r="H776" s="8">
        <v>2.63</v>
      </c>
      <c r="I776" s="4">
        <v>0</v>
      </c>
    </row>
    <row r="777" spans="1:9" x14ac:dyDescent="0.2">
      <c r="A777" s="2">
        <v>14</v>
      </c>
      <c r="B777" s="1" t="s">
        <v>90</v>
      </c>
      <c r="C777" s="4">
        <v>18</v>
      </c>
      <c r="D777" s="8">
        <v>1.92</v>
      </c>
      <c r="E777" s="4">
        <v>12</v>
      </c>
      <c r="F777" s="8">
        <v>2.1</v>
      </c>
      <c r="G777" s="4">
        <v>6</v>
      </c>
      <c r="H777" s="8">
        <v>1.75</v>
      </c>
      <c r="I777" s="4">
        <v>0</v>
      </c>
    </row>
    <row r="778" spans="1:9" x14ac:dyDescent="0.2">
      <c r="A778" s="2">
        <v>16</v>
      </c>
      <c r="B778" s="1" t="s">
        <v>77</v>
      </c>
      <c r="C778" s="4">
        <v>17</v>
      </c>
      <c r="D778" s="8">
        <v>1.81</v>
      </c>
      <c r="E778" s="4">
        <v>7</v>
      </c>
      <c r="F778" s="8">
        <v>1.22</v>
      </c>
      <c r="G778" s="4">
        <v>10</v>
      </c>
      <c r="H778" s="8">
        <v>2.92</v>
      </c>
      <c r="I778" s="4">
        <v>0</v>
      </c>
    </row>
    <row r="779" spans="1:9" x14ac:dyDescent="0.2">
      <c r="A779" s="2">
        <v>17</v>
      </c>
      <c r="B779" s="1" t="s">
        <v>86</v>
      </c>
      <c r="C779" s="4">
        <v>16</v>
      </c>
      <c r="D779" s="8">
        <v>1.71</v>
      </c>
      <c r="E779" s="4">
        <v>11</v>
      </c>
      <c r="F779" s="8">
        <v>1.92</v>
      </c>
      <c r="G779" s="4">
        <v>5</v>
      </c>
      <c r="H779" s="8">
        <v>1.46</v>
      </c>
      <c r="I779" s="4">
        <v>0</v>
      </c>
    </row>
    <row r="780" spans="1:9" x14ac:dyDescent="0.2">
      <c r="A780" s="2">
        <v>18</v>
      </c>
      <c r="B780" s="1" t="s">
        <v>104</v>
      </c>
      <c r="C780" s="4">
        <v>12</v>
      </c>
      <c r="D780" s="8">
        <v>1.28</v>
      </c>
      <c r="E780" s="4">
        <v>8</v>
      </c>
      <c r="F780" s="8">
        <v>1.4</v>
      </c>
      <c r="G780" s="4">
        <v>4</v>
      </c>
      <c r="H780" s="8">
        <v>1.17</v>
      </c>
      <c r="I780" s="4">
        <v>0</v>
      </c>
    </row>
    <row r="781" spans="1:9" x14ac:dyDescent="0.2">
      <c r="A781" s="2">
        <v>19</v>
      </c>
      <c r="B781" s="1" t="s">
        <v>78</v>
      </c>
      <c r="C781" s="4">
        <v>11</v>
      </c>
      <c r="D781" s="8">
        <v>1.17</v>
      </c>
      <c r="E781" s="4">
        <v>5</v>
      </c>
      <c r="F781" s="8">
        <v>0.87</v>
      </c>
      <c r="G781" s="4">
        <v>6</v>
      </c>
      <c r="H781" s="8">
        <v>1.75</v>
      </c>
      <c r="I781" s="4">
        <v>0</v>
      </c>
    </row>
    <row r="782" spans="1:9" x14ac:dyDescent="0.2">
      <c r="A782" s="2">
        <v>20</v>
      </c>
      <c r="B782" s="1" t="s">
        <v>94</v>
      </c>
      <c r="C782" s="4">
        <v>10</v>
      </c>
      <c r="D782" s="8">
        <v>1.07</v>
      </c>
      <c r="E782" s="4">
        <v>2</v>
      </c>
      <c r="F782" s="8">
        <v>0.35</v>
      </c>
      <c r="G782" s="4">
        <v>8</v>
      </c>
      <c r="H782" s="8">
        <v>2.34</v>
      </c>
      <c r="I782" s="4">
        <v>0</v>
      </c>
    </row>
    <row r="783" spans="1:9" x14ac:dyDescent="0.2">
      <c r="A783" s="1"/>
      <c r="C783" s="4"/>
      <c r="D783" s="8"/>
      <c r="E783" s="4"/>
      <c r="F783" s="8"/>
      <c r="G783" s="4"/>
      <c r="H783" s="8"/>
      <c r="I783" s="4"/>
    </row>
    <row r="784" spans="1:9" x14ac:dyDescent="0.2">
      <c r="A784" s="1" t="s">
        <v>35</v>
      </c>
      <c r="C784" s="4"/>
      <c r="D784" s="8"/>
      <c r="E784" s="4"/>
      <c r="F784" s="8"/>
      <c r="G784" s="4"/>
      <c r="H784" s="8"/>
      <c r="I784" s="4"/>
    </row>
    <row r="785" spans="1:9" x14ac:dyDescent="0.2">
      <c r="A785" s="2">
        <v>1</v>
      </c>
      <c r="B785" s="1" t="s">
        <v>88</v>
      </c>
      <c r="C785" s="4">
        <v>134</v>
      </c>
      <c r="D785" s="8">
        <v>11.13</v>
      </c>
      <c r="E785" s="4">
        <v>124</v>
      </c>
      <c r="F785" s="8">
        <v>15.54</v>
      </c>
      <c r="G785" s="4">
        <v>10</v>
      </c>
      <c r="H785" s="8">
        <v>2.56</v>
      </c>
      <c r="I785" s="4">
        <v>0</v>
      </c>
    </row>
    <row r="786" spans="1:9" x14ac:dyDescent="0.2">
      <c r="A786" s="2">
        <v>2</v>
      </c>
      <c r="B786" s="1" t="s">
        <v>83</v>
      </c>
      <c r="C786" s="4">
        <v>112</v>
      </c>
      <c r="D786" s="8">
        <v>9.3000000000000007</v>
      </c>
      <c r="E786" s="4">
        <v>67</v>
      </c>
      <c r="F786" s="8">
        <v>8.4</v>
      </c>
      <c r="G786" s="4">
        <v>45</v>
      </c>
      <c r="H786" s="8">
        <v>11.54</v>
      </c>
      <c r="I786" s="4">
        <v>0</v>
      </c>
    </row>
    <row r="787" spans="1:9" x14ac:dyDescent="0.2">
      <c r="A787" s="2">
        <v>3</v>
      </c>
      <c r="B787" s="1" t="s">
        <v>89</v>
      </c>
      <c r="C787" s="4">
        <v>111</v>
      </c>
      <c r="D787" s="8">
        <v>9.2200000000000006</v>
      </c>
      <c r="E787" s="4">
        <v>104</v>
      </c>
      <c r="F787" s="8">
        <v>13.03</v>
      </c>
      <c r="G787" s="4">
        <v>7</v>
      </c>
      <c r="H787" s="8">
        <v>1.79</v>
      </c>
      <c r="I787" s="4">
        <v>0</v>
      </c>
    </row>
    <row r="788" spans="1:9" x14ac:dyDescent="0.2">
      <c r="A788" s="2">
        <v>4</v>
      </c>
      <c r="B788" s="1" t="s">
        <v>81</v>
      </c>
      <c r="C788" s="4">
        <v>103</v>
      </c>
      <c r="D788" s="8">
        <v>8.5500000000000007</v>
      </c>
      <c r="E788" s="4">
        <v>90</v>
      </c>
      <c r="F788" s="8">
        <v>11.28</v>
      </c>
      <c r="G788" s="4">
        <v>13</v>
      </c>
      <c r="H788" s="8">
        <v>3.33</v>
      </c>
      <c r="I788" s="4">
        <v>0</v>
      </c>
    </row>
    <row r="789" spans="1:9" x14ac:dyDescent="0.2">
      <c r="A789" s="2">
        <v>5</v>
      </c>
      <c r="B789" s="1" t="s">
        <v>74</v>
      </c>
      <c r="C789" s="4">
        <v>88</v>
      </c>
      <c r="D789" s="8">
        <v>7.31</v>
      </c>
      <c r="E789" s="4">
        <v>32</v>
      </c>
      <c r="F789" s="8">
        <v>4.01</v>
      </c>
      <c r="G789" s="4">
        <v>56</v>
      </c>
      <c r="H789" s="8">
        <v>14.36</v>
      </c>
      <c r="I789" s="4">
        <v>0</v>
      </c>
    </row>
    <row r="790" spans="1:9" x14ac:dyDescent="0.2">
      <c r="A790" s="2">
        <v>6</v>
      </c>
      <c r="B790" s="1" t="s">
        <v>108</v>
      </c>
      <c r="C790" s="4">
        <v>63</v>
      </c>
      <c r="D790" s="8">
        <v>5.23</v>
      </c>
      <c r="E790" s="4">
        <v>49</v>
      </c>
      <c r="F790" s="8">
        <v>6.14</v>
      </c>
      <c r="G790" s="4">
        <v>14</v>
      </c>
      <c r="H790" s="8">
        <v>3.59</v>
      </c>
      <c r="I790" s="4">
        <v>0</v>
      </c>
    </row>
    <row r="791" spans="1:9" x14ac:dyDescent="0.2">
      <c r="A791" s="2">
        <v>7</v>
      </c>
      <c r="B791" s="1" t="s">
        <v>82</v>
      </c>
      <c r="C791" s="4">
        <v>50</v>
      </c>
      <c r="D791" s="8">
        <v>4.1500000000000004</v>
      </c>
      <c r="E791" s="4">
        <v>38</v>
      </c>
      <c r="F791" s="8">
        <v>4.76</v>
      </c>
      <c r="G791" s="4">
        <v>12</v>
      </c>
      <c r="H791" s="8">
        <v>3.08</v>
      </c>
      <c r="I791" s="4">
        <v>0</v>
      </c>
    </row>
    <row r="792" spans="1:9" x14ac:dyDescent="0.2">
      <c r="A792" s="2">
        <v>8</v>
      </c>
      <c r="B792" s="1" t="s">
        <v>75</v>
      </c>
      <c r="C792" s="4">
        <v>44</v>
      </c>
      <c r="D792" s="8">
        <v>3.65</v>
      </c>
      <c r="E792" s="4">
        <v>33</v>
      </c>
      <c r="F792" s="8">
        <v>4.1399999999999997</v>
      </c>
      <c r="G792" s="4">
        <v>11</v>
      </c>
      <c r="H792" s="8">
        <v>2.82</v>
      </c>
      <c r="I792" s="4">
        <v>0</v>
      </c>
    </row>
    <row r="793" spans="1:9" x14ac:dyDescent="0.2">
      <c r="A793" s="2">
        <v>9</v>
      </c>
      <c r="B793" s="1" t="s">
        <v>91</v>
      </c>
      <c r="C793" s="4">
        <v>42</v>
      </c>
      <c r="D793" s="8">
        <v>3.49</v>
      </c>
      <c r="E793" s="4">
        <v>24</v>
      </c>
      <c r="F793" s="8">
        <v>3.01</v>
      </c>
      <c r="G793" s="4">
        <v>3</v>
      </c>
      <c r="H793" s="8">
        <v>0.77</v>
      </c>
      <c r="I793" s="4">
        <v>0</v>
      </c>
    </row>
    <row r="794" spans="1:9" x14ac:dyDescent="0.2">
      <c r="A794" s="2">
        <v>10</v>
      </c>
      <c r="B794" s="1" t="s">
        <v>92</v>
      </c>
      <c r="C794" s="4">
        <v>36</v>
      </c>
      <c r="D794" s="8">
        <v>2.99</v>
      </c>
      <c r="E794" s="4">
        <v>33</v>
      </c>
      <c r="F794" s="8">
        <v>4.1399999999999997</v>
      </c>
      <c r="G794" s="4">
        <v>3</v>
      </c>
      <c r="H794" s="8">
        <v>0.77</v>
      </c>
      <c r="I794" s="4">
        <v>0</v>
      </c>
    </row>
    <row r="795" spans="1:9" x14ac:dyDescent="0.2">
      <c r="A795" s="2">
        <v>11</v>
      </c>
      <c r="B795" s="1" t="s">
        <v>80</v>
      </c>
      <c r="C795" s="4">
        <v>33</v>
      </c>
      <c r="D795" s="8">
        <v>2.74</v>
      </c>
      <c r="E795" s="4">
        <v>23</v>
      </c>
      <c r="F795" s="8">
        <v>2.88</v>
      </c>
      <c r="G795" s="4">
        <v>10</v>
      </c>
      <c r="H795" s="8">
        <v>2.56</v>
      </c>
      <c r="I795" s="4">
        <v>0</v>
      </c>
    </row>
    <row r="796" spans="1:9" x14ac:dyDescent="0.2">
      <c r="A796" s="2">
        <v>11</v>
      </c>
      <c r="B796" s="1" t="s">
        <v>85</v>
      </c>
      <c r="C796" s="4">
        <v>33</v>
      </c>
      <c r="D796" s="8">
        <v>2.74</v>
      </c>
      <c r="E796" s="4">
        <v>11</v>
      </c>
      <c r="F796" s="8">
        <v>1.38</v>
      </c>
      <c r="G796" s="4">
        <v>22</v>
      </c>
      <c r="H796" s="8">
        <v>5.64</v>
      </c>
      <c r="I796" s="4">
        <v>0</v>
      </c>
    </row>
    <row r="797" spans="1:9" x14ac:dyDescent="0.2">
      <c r="A797" s="2">
        <v>13</v>
      </c>
      <c r="B797" s="1" t="s">
        <v>111</v>
      </c>
      <c r="C797" s="4">
        <v>28</v>
      </c>
      <c r="D797" s="8">
        <v>2.33</v>
      </c>
      <c r="E797" s="4">
        <v>14</v>
      </c>
      <c r="F797" s="8">
        <v>1.75</v>
      </c>
      <c r="G797" s="4">
        <v>14</v>
      </c>
      <c r="H797" s="8">
        <v>3.59</v>
      </c>
      <c r="I797" s="4">
        <v>0</v>
      </c>
    </row>
    <row r="798" spans="1:9" x14ac:dyDescent="0.2">
      <c r="A798" s="2">
        <v>14</v>
      </c>
      <c r="B798" s="1" t="s">
        <v>76</v>
      </c>
      <c r="C798" s="4">
        <v>24</v>
      </c>
      <c r="D798" s="8">
        <v>1.99</v>
      </c>
      <c r="E798" s="4">
        <v>15</v>
      </c>
      <c r="F798" s="8">
        <v>1.88</v>
      </c>
      <c r="G798" s="4">
        <v>9</v>
      </c>
      <c r="H798" s="8">
        <v>2.31</v>
      </c>
      <c r="I798" s="4">
        <v>0</v>
      </c>
    </row>
    <row r="799" spans="1:9" x14ac:dyDescent="0.2">
      <c r="A799" s="2">
        <v>15</v>
      </c>
      <c r="B799" s="1" t="s">
        <v>105</v>
      </c>
      <c r="C799" s="4">
        <v>23</v>
      </c>
      <c r="D799" s="8">
        <v>1.91</v>
      </c>
      <c r="E799" s="4">
        <v>21</v>
      </c>
      <c r="F799" s="8">
        <v>2.63</v>
      </c>
      <c r="G799" s="4">
        <v>2</v>
      </c>
      <c r="H799" s="8">
        <v>0.51</v>
      </c>
      <c r="I799" s="4">
        <v>0</v>
      </c>
    </row>
    <row r="800" spans="1:9" x14ac:dyDescent="0.2">
      <c r="A800" s="2">
        <v>16</v>
      </c>
      <c r="B800" s="1" t="s">
        <v>95</v>
      </c>
      <c r="C800" s="4">
        <v>21</v>
      </c>
      <c r="D800" s="8">
        <v>1.74</v>
      </c>
      <c r="E800" s="4">
        <v>12</v>
      </c>
      <c r="F800" s="8">
        <v>1.5</v>
      </c>
      <c r="G800" s="4">
        <v>9</v>
      </c>
      <c r="H800" s="8">
        <v>2.31</v>
      </c>
      <c r="I800" s="4">
        <v>0</v>
      </c>
    </row>
    <row r="801" spans="1:9" x14ac:dyDescent="0.2">
      <c r="A801" s="2">
        <v>16</v>
      </c>
      <c r="B801" s="1" t="s">
        <v>87</v>
      </c>
      <c r="C801" s="4">
        <v>21</v>
      </c>
      <c r="D801" s="8">
        <v>1.74</v>
      </c>
      <c r="E801" s="4">
        <v>9</v>
      </c>
      <c r="F801" s="8">
        <v>1.1299999999999999</v>
      </c>
      <c r="G801" s="4">
        <v>12</v>
      </c>
      <c r="H801" s="8">
        <v>3.08</v>
      </c>
      <c r="I801" s="4">
        <v>0</v>
      </c>
    </row>
    <row r="802" spans="1:9" x14ac:dyDescent="0.2">
      <c r="A802" s="2">
        <v>18</v>
      </c>
      <c r="B802" s="1" t="s">
        <v>86</v>
      </c>
      <c r="C802" s="4">
        <v>15</v>
      </c>
      <c r="D802" s="8">
        <v>1.25</v>
      </c>
      <c r="E802" s="4">
        <v>11</v>
      </c>
      <c r="F802" s="8">
        <v>1.38</v>
      </c>
      <c r="G802" s="4">
        <v>4</v>
      </c>
      <c r="H802" s="8">
        <v>1.03</v>
      </c>
      <c r="I802" s="4">
        <v>0</v>
      </c>
    </row>
    <row r="803" spans="1:9" x14ac:dyDescent="0.2">
      <c r="A803" s="2">
        <v>19</v>
      </c>
      <c r="B803" s="1" t="s">
        <v>93</v>
      </c>
      <c r="C803" s="4">
        <v>14</v>
      </c>
      <c r="D803" s="8">
        <v>1.1599999999999999</v>
      </c>
      <c r="E803" s="4">
        <v>0</v>
      </c>
      <c r="F803" s="8">
        <v>0</v>
      </c>
      <c r="G803" s="4">
        <v>14</v>
      </c>
      <c r="H803" s="8">
        <v>3.59</v>
      </c>
      <c r="I803" s="4">
        <v>0</v>
      </c>
    </row>
    <row r="804" spans="1:9" x14ac:dyDescent="0.2">
      <c r="A804" s="2">
        <v>19</v>
      </c>
      <c r="B804" s="1" t="s">
        <v>104</v>
      </c>
      <c r="C804" s="4">
        <v>14</v>
      </c>
      <c r="D804" s="8">
        <v>1.1599999999999999</v>
      </c>
      <c r="E804" s="4">
        <v>11</v>
      </c>
      <c r="F804" s="8">
        <v>1.38</v>
      </c>
      <c r="G804" s="4">
        <v>3</v>
      </c>
      <c r="H804" s="8">
        <v>0.77</v>
      </c>
      <c r="I804" s="4">
        <v>0</v>
      </c>
    </row>
    <row r="805" spans="1:9" x14ac:dyDescent="0.2">
      <c r="A805" s="1"/>
      <c r="C805" s="4"/>
      <c r="D805" s="8"/>
      <c r="E805" s="4"/>
      <c r="F805" s="8"/>
      <c r="G805" s="4"/>
      <c r="H805" s="8"/>
      <c r="I805" s="4"/>
    </row>
    <row r="806" spans="1:9" x14ac:dyDescent="0.2">
      <c r="A806" s="1" t="s">
        <v>36</v>
      </c>
      <c r="C806" s="4"/>
      <c r="D806" s="8"/>
      <c r="E806" s="4"/>
      <c r="F806" s="8"/>
      <c r="G806" s="4"/>
      <c r="H806" s="8"/>
      <c r="I806" s="4"/>
    </row>
    <row r="807" spans="1:9" x14ac:dyDescent="0.2">
      <c r="A807" s="2">
        <v>1</v>
      </c>
      <c r="B807" s="1" t="s">
        <v>108</v>
      </c>
      <c r="C807" s="4">
        <v>232</v>
      </c>
      <c r="D807" s="8">
        <v>16.489999999999998</v>
      </c>
      <c r="E807" s="4">
        <v>182</v>
      </c>
      <c r="F807" s="8">
        <v>18.71</v>
      </c>
      <c r="G807" s="4">
        <v>49</v>
      </c>
      <c r="H807" s="8">
        <v>11.45</v>
      </c>
      <c r="I807" s="4">
        <v>1</v>
      </c>
    </row>
    <row r="808" spans="1:9" x14ac:dyDescent="0.2">
      <c r="A808" s="2">
        <v>2</v>
      </c>
      <c r="B808" s="1" t="s">
        <v>74</v>
      </c>
      <c r="C808" s="4">
        <v>153</v>
      </c>
      <c r="D808" s="8">
        <v>10.87</v>
      </c>
      <c r="E808" s="4">
        <v>70</v>
      </c>
      <c r="F808" s="8">
        <v>7.19</v>
      </c>
      <c r="G808" s="4">
        <v>83</v>
      </c>
      <c r="H808" s="8">
        <v>19.39</v>
      </c>
      <c r="I808" s="4">
        <v>0</v>
      </c>
    </row>
    <row r="809" spans="1:9" x14ac:dyDescent="0.2">
      <c r="A809" s="2">
        <v>3</v>
      </c>
      <c r="B809" s="1" t="s">
        <v>89</v>
      </c>
      <c r="C809" s="4">
        <v>121</v>
      </c>
      <c r="D809" s="8">
        <v>8.6</v>
      </c>
      <c r="E809" s="4">
        <v>115</v>
      </c>
      <c r="F809" s="8">
        <v>11.82</v>
      </c>
      <c r="G809" s="4">
        <v>6</v>
      </c>
      <c r="H809" s="8">
        <v>1.4</v>
      </c>
      <c r="I809" s="4">
        <v>0</v>
      </c>
    </row>
    <row r="810" spans="1:9" x14ac:dyDescent="0.2">
      <c r="A810" s="2">
        <v>4</v>
      </c>
      <c r="B810" s="1" t="s">
        <v>83</v>
      </c>
      <c r="C810" s="4">
        <v>97</v>
      </c>
      <c r="D810" s="8">
        <v>6.89</v>
      </c>
      <c r="E810" s="4">
        <v>61</v>
      </c>
      <c r="F810" s="8">
        <v>6.27</v>
      </c>
      <c r="G810" s="4">
        <v>36</v>
      </c>
      <c r="H810" s="8">
        <v>8.41</v>
      </c>
      <c r="I810" s="4">
        <v>0</v>
      </c>
    </row>
    <row r="811" spans="1:9" x14ac:dyDescent="0.2">
      <c r="A811" s="2">
        <v>5</v>
      </c>
      <c r="B811" s="1" t="s">
        <v>75</v>
      </c>
      <c r="C811" s="4">
        <v>88</v>
      </c>
      <c r="D811" s="8">
        <v>6.25</v>
      </c>
      <c r="E811" s="4">
        <v>69</v>
      </c>
      <c r="F811" s="8">
        <v>7.09</v>
      </c>
      <c r="G811" s="4">
        <v>19</v>
      </c>
      <c r="H811" s="8">
        <v>4.4400000000000004</v>
      </c>
      <c r="I811" s="4">
        <v>0</v>
      </c>
    </row>
    <row r="812" spans="1:9" x14ac:dyDescent="0.2">
      <c r="A812" s="2">
        <v>6</v>
      </c>
      <c r="B812" s="1" t="s">
        <v>88</v>
      </c>
      <c r="C812" s="4">
        <v>83</v>
      </c>
      <c r="D812" s="8">
        <v>5.9</v>
      </c>
      <c r="E812" s="4">
        <v>77</v>
      </c>
      <c r="F812" s="8">
        <v>7.91</v>
      </c>
      <c r="G812" s="4">
        <v>6</v>
      </c>
      <c r="H812" s="8">
        <v>1.4</v>
      </c>
      <c r="I812" s="4">
        <v>0</v>
      </c>
    </row>
    <row r="813" spans="1:9" x14ac:dyDescent="0.2">
      <c r="A813" s="2">
        <v>7</v>
      </c>
      <c r="B813" s="1" t="s">
        <v>76</v>
      </c>
      <c r="C813" s="4">
        <v>63</v>
      </c>
      <c r="D813" s="8">
        <v>4.4800000000000004</v>
      </c>
      <c r="E813" s="4">
        <v>34</v>
      </c>
      <c r="F813" s="8">
        <v>3.49</v>
      </c>
      <c r="G813" s="4">
        <v>29</v>
      </c>
      <c r="H813" s="8">
        <v>6.78</v>
      </c>
      <c r="I813" s="4">
        <v>0</v>
      </c>
    </row>
    <row r="814" spans="1:9" x14ac:dyDescent="0.2">
      <c r="A814" s="2">
        <v>8</v>
      </c>
      <c r="B814" s="1" t="s">
        <v>81</v>
      </c>
      <c r="C814" s="4">
        <v>54</v>
      </c>
      <c r="D814" s="8">
        <v>3.84</v>
      </c>
      <c r="E814" s="4">
        <v>51</v>
      </c>
      <c r="F814" s="8">
        <v>5.24</v>
      </c>
      <c r="G814" s="4">
        <v>3</v>
      </c>
      <c r="H814" s="8">
        <v>0.7</v>
      </c>
      <c r="I814" s="4">
        <v>0</v>
      </c>
    </row>
    <row r="815" spans="1:9" x14ac:dyDescent="0.2">
      <c r="A815" s="2">
        <v>9</v>
      </c>
      <c r="B815" s="1" t="s">
        <v>91</v>
      </c>
      <c r="C815" s="4">
        <v>53</v>
      </c>
      <c r="D815" s="8">
        <v>3.77</v>
      </c>
      <c r="E815" s="4">
        <v>47</v>
      </c>
      <c r="F815" s="8">
        <v>4.83</v>
      </c>
      <c r="G815" s="4">
        <v>3</v>
      </c>
      <c r="H815" s="8">
        <v>0.7</v>
      </c>
      <c r="I815" s="4">
        <v>0</v>
      </c>
    </row>
    <row r="816" spans="1:9" x14ac:dyDescent="0.2">
      <c r="A816" s="2">
        <v>10</v>
      </c>
      <c r="B816" s="1" t="s">
        <v>80</v>
      </c>
      <c r="C816" s="4">
        <v>38</v>
      </c>
      <c r="D816" s="8">
        <v>2.7</v>
      </c>
      <c r="E816" s="4">
        <v>20</v>
      </c>
      <c r="F816" s="8">
        <v>2.06</v>
      </c>
      <c r="G816" s="4">
        <v>18</v>
      </c>
      <c r="H816" s="8">
        <v>4.21</v>
      </c>
      <c r="I816" s="4">
        <v>0</v>
      </c>
    </row>
    <row r="817" spans="1:9" x14ac:dyDescent="0.2">
      <c r="A817" s="2">
        <v>10</v>
      </c>
      <c r="B817" s="1" t="s">
        <v>82</v>
      </c>
      <c r="C817" s="4">
        <v>38</v>
      </c>
      <c r="D817" s="8">
        <v>2.7</v>
      </c>
      <c r="E817" s="4">
        <v>28</v>
      </c>
      <c r="F817" s="8">
        <v>2.88</v>
      </c>
      <c r="G817" s="4">
        <v>10</v>
      </c>
      <c r="H817" s="8">
        <v>2.34</v>
      </c>
      <c r="I817" s="4">
        <v>0</v>
      </c>
    </row>
    <row r="818" spans="1:9" x14ac:dyDescent="0.2">
      <c r="A818" s="2">
        <v>12</v>
      </c>
      <c r="B818" s="1" t="s">
        <v>92</v>
      </c>
      <c r="C818" s="4">
        <v>34</v>
      </c>
      <c r="D818" s="8">
        <v>2.42</v>
      </c>
      <c r="E818" s="4">
        <v>32</v>
      </c>
      <c r="F818" s="8">
        <v>3.29</v>
      </c>
      <c r="G818" s="4">
        <v>2</v>
      </c>
      <c r="H818" s="8">
        <v>0.47</v>
      </c>
      <c r="I818" s="4">
        <v>0</v>
      </c>
    </row>
    <row r="819" spans="1:9" x14ac:dyDescent="0.2">
      <c r="A819" s="2">
        <v>13</v>
      </c>
      <c r="B819" s="1" t="s">
        <v>85</v>
      </c>
      <c r="C819" s="4">
        <v>22</v>
      </c>
      <c r="D819" s="8">
        <v>1.56</v>
      </c>
      <c r="E819" s="4">
        <v>14</v>
      </c>
      <c r="F819" s="8">
        <v>1.44</v>
      </c>
      <c r="G819" s="4">
        <v>8</v>
      </c>
      <c r="H819" s="8">
        <v>1.87</v>
      </c>
      <c r="I819" s="4">
        <v>0</v>
      </c>
    </row>
    <row r="820" spans="1:9" x14ac:dyDescent="0.2">
      <c r="A820" s="2">
        <v>13</v>
      </c>
      <c r="B820" s="1" t="s">
        <v>86</v>
      </c>
      <c r="C820" s="4">
        <v>22</v>
      </c>
      <c r="D820" s="8">
        <v>1.56</v>
      </c>
      <c r="E820" s="4">
        <v>17</v>
      </c>
      <c r="F820" s="8">
        <v>1.75</v>
      </c>
      <c r="G820" s="4">
        <v>5</v>
      </c>
      <c r="H820" s="8">
        <v>1.17</v>
      </c>
      <c r="I820" s="4">
        <v>0</v>
      </c>
    </row>
    <row r="821" spans="1:9" x14ac:dyDescent="0.2">
      <c r="A821" s="2">
        <v>13</v>
      </c>
      <c r="B821" s="1" t="s">
        <v>87</v>
      </c>
      <c r="C821" s="4">
        <v>22</v>
      </c>
      <c r="D821" s="8">
        <v>1.56</v>
      </c>
      <c r="E821" s="4">
        <v>12</v>
      </c>
      <c r="F821" s="8">
        <v>1.23</v>
      </c>
      <c r="G821" s="4">
        <v>10</v>
      </c>
      <c r="H821" s="8">
        <v>2.34</v>
      </c>
      <c r="I821" s="4">
        <v>0</v>
      </c>
    </row>
    <row r="822" spans="1:9" x14ac:dyDescent="0.2">
      <c r="A822" s="2">
        <v>16</v>
      </c>
      <c r="B822" s="1" t="s">
        <v>112</v>
      </c>
      <c r="C822" s="4">
        <v>20</v>
      </c>
      <c r="D822" s="8">
        <v>1.42</v>
      </c>
      <c r="E822" s="4">
        <v>8</v>
      </c>
      <c r="F822" s="8">
        <v>0.82</v>
      </c>
      <c r="G822" s="4">
        <v>12</v>
      </c>
      <c r="H822" s="8">
        <v>2.8</v>
      </c>
      <c r="I822" s="4">
        <v>0</v>
      </c>
    </row>
    <row r="823" spans="1:9" x14ac:dyDescent="0.2">
      <c r="A823" s="2">
        <v>16</v>
      </c>
      <c r="B823" s="1" t="s">
        <v>117</v>
      </c>
      <c r="C823" s="4">
        <v>20</v>
      </c>
      <c r="D823" s="8">
        <v>1.42</v>
      </c>
      <c r="E823" s="4">
        <v>12</v>
      </c>
      <c r="F823" s="8">
        <v>1.23</v>
      </c>
      <c r="G823" s="4">
        <v>8</v>
      </c>
      <c r="H823" s="8">
        <v>1.87</v>
      </c>
      <c r="I823" s="4">
        <v>0</v>
      </c>
    </row>
    <row r="824" spans="1:9" x14ac:dyDescent="0.2">
      <c r="A824" s="2">
        <v>18</v>
      </c>
      <c r="B824" s="1" t="s">
        <v>97</v>
      </c>
      <c r="C824" s="4">
        <v>16</v>
      </c>
      <c r="D824" s="8">
        <v>1.1399999999999999</v>
      </c>
      <c r="E824" s="4">
        <v>7</v>
      </c>
      <c r="F824" s="8">
        <v>0.72</v>
      </c>
      <c r="G824" s="4">
        <v>9</v>
      </c>
      <c r="H824" s="8">
        <v>2.1</v>
      </c>
      <c r="I824" s="4">
        <v>0</v>
      </c>
    </row>
    <row r="825" spans="1:9" x14ac:dyDescent="0.2">
      <c r="A825" s="2">
        <v>19</v>
      </c>
      <c r="B825" s="1" t="s">
        <v>110</v>
      </c>
      <c r="C825" s="4">
        <v>14</v>
      </c>
      <c r="D825" s="8">
        <v>1</v>
      </c>
      <c r="E825" s="4">
        <v>7</v>
      </c>
      <c r="F825" s="8">
        <v>0.72</v>
      </c>
      <c r="G825" s="4">
        <v>7</v>
      </c>
      <c r="H825" s="8">
        <v>1.64</v>
      </c>
      <c r="I825" s="4">
        <v>0</v>
      </c>
    </row>
    <row r="826" spans="1:9" x14ac:dyDescent="0.2">
      <c r="A826" s="2">
        <v>19</v>
      </c>
      <c r="B826" s="1" t="s">
        <v>90</v>
      </c>
      <c r="C826" s="4">
        <v>14</v>
      </c>
      <c r="D826" s="8">
        <v>1</v>
      </c>
      <c r="E826" s="4">
        <v>9</v>
      </c>
      <c r="F826" s="8">
        <v>0.92</v>
      </c>
      <c r="G826" s="4">
        <v>5</v>
      </c>
      <c r="H826" s="8">
        <v>1.17</v>
      </c>
      <c r="I826" s="4">
        <v>0</v>
      </c>
    </row>
    <row r="827" spans="1:9" x14ac:dyDescent="0.2">
      <c r="A827" s="2">
        <v>19</v>
      </c>
      <c r="B827" s="1" t="s">
        <v>104</v>
      </c>
      <c r="C827" s="4">
        <v>14</v>
      </c>
      <c r="D827" s="8">
        <v>1</v>
      </c>
      <c r="E827" s="4">
        <v>11</v>
      </c>
      <c r="F827" s="8">
        <v>1.1299999999999999</v>
      </c>
      <c r="G827" s="4">
        <v>3</v>
      </c>
      <c r="H827" s="8">
        <v>0.7</v>
      </c>
      <c r="I827" s="4">
        <v>0</v>
      </c>
    </row>
    <row r="828" spans="1:9" x14ac:dyDescent="0.2">
      <c r="A828" s="1"/>
      <c r="C828" s="4"/>
      <c r="D828" s="8"/>
      <c r="E828" s="4"/>
      <c r="F828" s="8"/>
      <c r="G828" s="4"/>
      <c r="H828" s="8"/>
      <c r="I828" s="4"/>
    </row>
    <row r="829" spans="1:9" x14ac:dyDescent="0.2">
      <c r="A829" s="1" t="s">
        <v>37</v>
      </c>
      <c r="C829" s="4"/>
      <c r="D829" s="8"/>
      <c r="E829" s="4"/>
      <c r="F829" s="8"/>
      <c r="G829" s="4"/>
      <c r="H829" s="8"/>
      <c r="I829" s="4"/>
    </row>
    <row r="830" spans="1:9" x14ac:dyDescent="0.2">
      <c r="A830" s="2">
        <v>1</v>
      </c>
      <c r="B830" s="1" t="s">
        <v>88</v>
      </c>
      <c r="C830" s="4">
        <v>93</v>
      </c>
      <c r="D830" s="8">
        <v>10.23</v>
      </c>
      <c r="E830" s="4">
        <v>79</v>
      </c>
      <c r="F830" s="8">
        <v>16.53</v>
      </c>
      <c r="G830" s="4">
        <v>14</v>
      </c>
      <c r="H830" s="8">
        <v>3.38</v>
      </c>
      <c r="I830" s="4">
        <v>0</v>
      </c>
    </row>
    <row r="831" spans="1:9" x14ac:dyDescent="0.2">
      <c r="A831" s="2">
        <v>2</v>
      </c>
      <c r="B831" s="1" t="s">
        <v>89</v>
      </c>
      <c r="C831" s="4">
        <v>81</v>
      </c>
      <c r="D831" s="8">
        <v>8.91</v>
      </c>
      <c r="E831" s="4">
        <v>64</v>
      </c>
      <c r="F831" s="8">
        <v>13.39</v>
      </c>
      <c r="G831" s="4">
        <v>17</v>
      </c>
      <c r="H831" s="8">
        <v>4.1100000000000003</v>
      </c>
      <c r="I831" s="4">
        <v>0</v>
      </c>
    </row>
    <row r="832" spans="1:9" x14ac:dyDescent="0.2">
      <c r="A832" s="2">
        <v>3</v>
      </c>
      <c r="B832" s="1" t="s">
        <v>74</v>
      </c>
      <c r="C832" s="4">
        <v>80</v>
      </c>
      <c r="D832" s="8">
        <v>8.8000000000000007</v>
      </c>
      <c r="E832" s="4">
        <v>35</v>
      </c>
      <c r="F832" s="8">
        <v>7.32</v>
      </c>
      <c r="G832" s="4">
        <v>45</v>
      </c>
      <c r="H832" s="8">
        <v>10.87</v>
      </c>
      <c r="I832" s="4">
        <v>0</v>
      </c>
    </row>
    <row r="833" spans="1:9" x14ac:dyDescent="0.2">
      <c r="A833" s="2">
        <v>4</v>
      </c>
      <c r="B833" s="1" t="s">
        <v>83</v>
      </c>
      <c r="C833" s="4">
        <v>58</v>
      </c>
      <c r="D833" s="8">
        <v>6.38</v>
      </c>
      <c r="E833" s="4">
        <v>22</v>
      </c>
      <c r="F833" s="8">
        <v>4.5999999999999996</v>
      </c>
      <c r="G833" s="4">
        <v>36</v>
      </c>
      <c r="H833" s="8">
        <v>8.6999999999999993</v>
      </c>
      <c r="I833" s="4">
        <v>0</v>
      </c>
    </row>
    <row r="834" spans="1:9" x14ac:dyDescent="0.2">
      <c r="A834" s="2">
        <v>5</v>
      </c>
      <c r="B834" s="1" t="s">
        <v>82</v>
      </c>
      <c r="C834" s="4">
        <v>43</v>
      </c>
      <c r="D834" s="8">
        <v>4.7300000000000004</v>
      </c>
      <c r="E834" s="4">
        <v>22</v>
      </c>
      <c r="F834" s="8">
        <v>4.5999999999999996</v>
      </c>
      <c r="G834" s="4">
        <v>21</v>
      </c>
      <c r="H834" s="8">
        <v>5.07</v>
      </c>
      <c r="I834" s="4">
        <v>0</v>
      </c>
    </row>
    <row r="835" spans="1:9" x14ac:dyDescent="0.2">
      <c r="A835" s="2">
        <v>6</v>
      </c>
      <c r="B835" s="1" t="s">
        <v>75</v>
      </c>
      <c r="C835" s="4">
        <v>38</v>
      </c>
      <c r="D835" s="8">
        <v>4.18</v>
      </c>
      <c r="E835" s="4">
        <v>25</v>
      </c>
      <c r="F835" s="8">
        <v>5.23</v>
      </c>
      <c r="G835" s="4">
        <v>13</v>
      </c>
      <c r="H835" s="8">
        <v>3.14</v>
      </c>
      <c r="I835" s="4">
        <v>0</v>
      </c>
    </row>
    <row r="836" spans="1:9" x14ac:dyDescent="0.2">
      <c r="A836" s="2">
        <v>7</v>
      </c>
      <c r="B836" s="1" t="s">
        <v>85</v>
      </c>
      <c r="C836" s="4">
        <v>37</v>
      </c>
      <c r="D836" s="8">
        <v>4.07</v>
      </c>
      <c r="E836" s="4">
        <v>16</v>
      </c>
      <c r="F836" s="8">
        <v>3.35</v>
      </c>
      <c r="G836" s="4">
        <v>21</v>
      </c>
      <c r="H836" s="8">
        <v>5.07</v>
      </c>
      <c r="I836" s="4">
        <v>0</v>
      </c>
    </row>
    <row r="837" spans="1:9" x14ac:dyDescent="0.2">
      <c r="A837" s="2">
        <v>8</v>
      </c>
      <c r="B837" s="1" t="s">
        <v>81</v>
      </c>
      <c r="C837" s="4">
        <v>36</v>
      </c>
      <c r="D837" s="8">
        <v>3.96</v>
      </c>
      <c r="E837" s="4">
        <v>30</v>
      </c>
      <c r="F837" s="8">
        <v>6.28</v>
      </c>
      <c r="G837" s="4">
        <v>6</v>
      </c>
      <c r="H837" s="8">
        <v>1.45</v>
      </c>
      <c r="I837" s="4">
        <v>0</v>
      </c>
    </row>
    <row r="838" spans="1:9" x14ac:dyDescent="0.2">
      <c r="A838" s="2">
        <v>9</v>
      </c>
      <c r="B838" s="1" t="s">
        <v>111</v>
      </c>
      <c r="C838" s="4">
        <v>28</v>
      </c>
      <c r="D838" s="8">
        <v>3.08</v>
      </c>
      <c r="E838" s="4">
        <v>15</v>
      </c>
      <c r="F838" s="8">
        <v>3.14</v>
      </c>
      <c r="G838" s="4">
        <v>13</v>
      </c>
      <c r="H838" s="8">
        <v>3.14</v>
      </c>
      <c r="I838" s="4">
        <v>0</v>
      </c>
    </row>
    <row r="839" spans="1:9" x14ac:dyDescent="0.2">
      <c r="A839" s="2">
        <v>10</v>
      </c>
      <c r="B839" s="1" t="s">
        <v>80</v>
      </c>
      <c r="C839" s="4">
        <v>27</v>
      </c>
      <c r="D839" s="8">
        <v>2.97</v>
      </c>
      <c r="E839" s="4">
        <v>16</v>
      </c>
      <c r="F839" s="8">
        <v>3.35</v>
      </c>
      <c r="G839" s="4">
        <v>11</v>
      </c>
      <c r="H839" s="8">
        <v>2.66</v>
      </c>
      <c r="I839" s="4">
        <v>0</v>
      </c>
    </row>
    <row r="840" spans="1:9" x14ac:dyDescent="0.2">
      <c r="A840" s="2">
        <v>11</v>
      </c>
      <c r="B840" s="1" t="s">
        <v>91</v>
      </c>
      <c r="C840" s="4">
        <v>25</v>
      </c>
      <c r="D840" s="8">
        <v>2.75</v>
      </c>
      <c r="E840" s="4">
        <v>12</v>
      </c>
      <c r="F840" s="8">
        <v>2.5099999999999998</v>
      </c>
      <c r="G840" s="4">
        <v>5</v>
      </c>
      <c r="H840" s="8">
        <v>1.21</v>
      </c>
      <c r="I840" s="4">
        <v>2</v>
      </c>
    </row>
    <row r="841" spans="1:9" x14ac:dyDescent="0.2">
      <c r="A841" s="2">
        <v>12</v>
      </c>
      <c r="B841" s="1" t="s">
        <v>92</v>
      </c>
      <c r="C841" s="4">
        <v>24</v>
      </c>
      <c r="D841" s="8">
        <v>2.64</v>
      </c>
      <c r="E841" s="4">
        <v>20</v>
      </c>
      <c r="F841" s="8">
        <v>4.18</v>
      </c>
      <c r="G841" s="4">
        <v>4</v>
      </c>
      <c r="H841" s="8">
        <v>0.97</v>
      </c>
      <c r="I841" s="4">
        <v>0</v>
      </c>
    </row>
    <row r="842" spans="1:9" x14ac:dyDescent="0.2">
      <c r="A842" s="2">
        <v>13</v>
      </c>
      <c r="B842" s="1" t="s">
        <v>76</v>
      </c>
      <c r="C842" s="4">
        <v>21</v>
      </c>
      <c r="D842" s="8">
        <v>2.31</v>
      </c>
      <c r="E842" s="4">
        <v>11</v>
      </c>
      <c r="F842" s="8">
        <v>2.2999999999999998</v>
      </c>
      <c r="G842" s="4">
        <v>10</v>
      </c>
      <c r="H842" s="8">
        <v>2.42</v>
      </c>
      <c r="I842" s="4">
        <v>0</v>
      </c>
    </row>
    <row r="843" spans="1:9" x14ac:dyDescent="0.2">
      <c r="A843" s="2">
        <v>13</v>
      </c>
      <c r="B843" s="1" t="s">
        <v>86</v>
      </c>
      <c r="C843" s="4">
        <v>21</v>
      </c>
      <c r="D843" s="8">
        <v>2.31</v>
      </c>
      <c r="E843" s="4">
        <v>14</v>
      </c>
      <c r="F843" s="8">
        <v>2.93</v>
      </c>
      <c r="G843" s="4">
        <v>7</v>
      </c>
      <c r="H843" s="8">
        <v>1.69</v>
      </c>
      <c r="I843" s="4">
        <v>0</v>
      </c>
    </row>
    <row r="844" spans="1:9" x14ac:dyDescent="0.2">
      <c r="A844" s="2">
        <v>15</v>
      </c>
      <c r="B844" s="1" t="s">
        <v>77</v>
      </c>
      <c r="C844" s="4">
        <v>19</v>
      </c>
      <c r="D844" s="8">
        <v>2.09</v>
      </c>
      <c r="E844" s="4">
        <v>6</v>
      </c>
      <c r="F844" s="8">
        <v>1.26</v>
      </c>
      <c r="G844" s="4">
        <v>13</v>
      </c>
      <c r="H844" s="8">
        <v>3.14</v>
      </c>
      <c r="I844" s="4">
        <v>0</v>
      </c>
    </row>
    <row r="845" spans="1:9" x14ac:dyDescent="0.2">
      <c r="A845" s="2">
        <v>16</v>
      </c>
      <c r="B845" s="1" t="s">
        <v>97</v>
      </c>
      <c r="C845" s="4">
        <v>18</v>
      </c>
      <c r="D845" s="8">
        <v>1.98</v>
      </c>
      <c r="E845" s="4">
        <v>9</v>
      </c>
      <c r="F845" s="8">
        <v>1.88</v>
      </c>
      <c r="G845" s="4">
        <v>9</v>
      </c>
      <c r="H845" s="8">
        <v>2.17</v>
      </c>
      <c r="I845" s="4">
        <v>0</v>
      </c>
    </row>
    <row r="846" spans="1:9" x14ac:dyDescent="0.2">
      <c r="A846" s="2">
        <v>16</v>
      </c>
      <c r="B846" s="1" t="s">
        <v>87</v>
      </c>
      <c r="C846" s="4">
        <v>18</v>
      </c>
      <c r="D846" s="8">
        <v>1.98</v>
      </c>
      <c r="E846" s="4">
        <v>10</v>
      </c>
      <c r="F846" s="8">
        <v>2.09</v>
      </c>
      <c r="G846" s="4">
        <v>8</v>
      </c>
      <c r="H846" s="8">
        <v>1.93</v>
      </c>
      <c r="I846" s="4">
        <v>0</v>
      </c>
    </row>
    <row r="847" spans="1:9" x14ac:dyDescent="0.2">
      <c r="A847" s="2">
        <v>18</v>
      </c>
      <c r="B847" s="1" t="s">
        <v>104</v>
      </c>
      <c r="C847" s="4">
        <v>15</v>
      </c>
      <c r="D847" s="8">
        <v>1.65</v>
      </c>
      <c r="E847" s="4">
        <v>12</v>
      </c>
      <c r="F847" s="8">
        <v>2.5099999999999998</v>
      </c>
      <c r="G847" s="4">
        <v>3</v>
      </c>
      <c r="H847" s="8">
        <v>0.72</v>
      </c>
      <c r="I847" s="4">
        <v>0</v>
      </c>
    </row>
    <row r="848" spans="1:9" x14ac:dyDescent="0.2">
      <c r="A848" s="2">
        <v>19</v>
      </c>
      <c r="B848" s="1" t="s">
        <v>110</v>
      </c>
      <c r="C848" s="4">
        <v>14</v>
      </c>
      <c r="D848" s="8">
        <v>1.54</v>
      </c>
      <c r="E848" s="4">
        <v>5</v>
      </c>
      <c r="F848" s="8">
        <v>1.05</v>
      </c>
      <c r="G848" s="4">
        <v>9</v>
      </c>
      <c r="H848" s="8">
        <v>2.17</v>
      </c>
      <c r="I848" s="4">
        <v>0</v>
      </c>
    </row>
    <row r="849" spans="1:9" x14ac:dyDescent="0.2">
      <c r="A849" s="2">
        <v>20</v>
      </c>
      <c r="B849" s="1" t="s">
        <v>79</v>
      </c>
      <c r="C849" s="4">
        <v>13</v>
      </c>
      <c r="D849" s="8">
        <v>1.43</v>
      </c>
      <c r="E849" s="4">
        <v>4</v>
      </c>
      <c r="F849" s="8">
        <v>0.84</v>
      </c>
      <c r="G849" s="4">
        <v>9</v>
      </c>
      <c r="H849" s="8">
        <v>2.17</v>
      </c>
      <c r="I849" s="4">
        <v>0</v>
      </c>
    </row>
    <row r="850" spans="1:9" x14ac:dyDescent="0.2">
      <c r="A850" s="2">
        <v>20</v>
      </c>
      <c r="B850" s="1" t="s">
        <v>84</v>
      </c>
      <c r="C850" s="4">
        <v>13</v>
      </c>
      <c r="D850" s="8">
        <v>1.43</v>
      </c>
      <c r="E850" s="4">
        <v>3</v>
      </c>
      <c r="F850" s="8">
        <v>0.63</v>
      </c>
      <c r="G850" s="4">
        <v>10</v>
      </c>
      <c r="H850" s="8">
        <v>2.42</v>
      </c>
      <c r="I850" s="4">
        <v>0</v>
      </c>
    </row>
    <row r="851" spans="1:9" x14ac:dyDescent="0.2">
      <c r="A851" s="1"/>
      <c r="C851" s="4"/>
      <c r="D851" s="8"/>
      <c r="E851" s="4"/>
      <c r="F851" s="8"/>
      <c r="G851" s="4"/>
      <c r="H851" s="8"/>
      <c r="I851" s="4"/>
    </row>
    <row r="852" spans="1:9" x14ac:dyDescent="0.2">
      <c r="A852" s="1" t="s">
        <v>38</v>
      </c>
      <c r="C852" s="4"/>
      <c r="D852" s="8"/>
      <c r="E852" s="4"/>
      <c r="F852" s="8"/>
      <c r="G852" s="4"/>
      <c r="H852" s="8"/>
      <c r="I852" s="4"/>
    </row>
    <row r="853" spans="1:9" x14ac:dyDescent="0.2">
      <c r="A853" s="2">
        <v>1</v>
      </c>
      <c r="B853" s="1" t="s">
        <v>89</v>
      </c>
      <c r="C853" s="4">
        <v>171</v>
      </c>
      <c r="D853" s="8">
        <v>8.93</v>
      </c>
      <c r="E853" s="4">
        <v>146</v>
      </c>
      <c r="F853" s="8">
        <v>13.19</v>
      </c>
      <c r="G853" s="4">
        <v>25</v>
      </c>
      <c r="H853" s="8">
        <v>3.33</v>
      </c>
      <c r="I853" s="4">
        <v>0</v>
      </c>
    </row>
    <row r="854" spans="1:9" x14ac:dyDescent="0.2">
      <c r="A854" s="2">
        <v>2</v>
      </c>
      <c r="B854" s="1" t="s">
        <v>74</v>
      </c>
      <c r="C854" s="4">
        <v>159</v>
      </c>
      <c r="D854" s="8">
        <v>8.3000000000000007</v>
      </c>
      <c r="E854" s="4">
        <v>50</v>
      </c>
      <c r="F854" s="8">
        <v>4.5199999999999996</v>
      </c>
      <c r="G854" s="4">
        <v>109</v>
      </c>
      <c r="H854" s="8">
        <v>14.51</v>
      </c>
      <c r="I854" s="4">
        <v>0</v>
      </c>
    </row>
    <row r="855" spans="1:9" x14ac:dyDescent="0.2">
      <c r="A855" s="2">
        <v>3</v>
      </c>
      <c r="B855" s="1" t="s">
        <v>83</v>
      </c>
      <c r="C855" s="4">
        <v>149</v>
      </c>
      <c r="D855" s="8">
        <v>7.78</v>
      </c>
      <c r="E855" s="4">
        <v>86</v>
      </c>
      <c r="F855" s="8">
        <v>7.77</v>
      </c>
      <c r="G855" s="4">
        <v>63</v>
      </c>
      <c r="H855" s="8">
        <v>8.39</v>
      </c>
      <c r="I855" s="4">
        <v>0</v>
      </c>
    </row>
    <row r="856" spans="1:9" x14ac:dyDescent="0.2">
      <c r="A856" s="2">
        <v>4</v>
      </c>
      <c r="B856" s="1" t="s">
        <v>88</v>
      </c>
      <c r="C856" s="4">
        <v>121</v>
      </c>
      <c r="D856" s="8">
        <v>6.32</v>
      </c>
      <c r="E856" s="4">
        <v>106</v>
      </c>
      <c r="F856" s="8">
        <v>9.58</v>
      </c>
      <c r="G856" s="4">
        <v>14</v>
      </c>
      <c r="H856" s="8">
        <v>1.86</v>
      </c>
      <c r="I856" s="4">
        <v>1</v>
      </c>
    </row>
    <row r="857" spans="1:9" x14ac:dyDescent="0.2">
      <c r="A857" s="2">
        <v>5</v>
      </c>
      <c r="B857" s="1" t="s">
        <v>99</v>
      </c>
      <c r="C857" s="4">
        <v>116</v>
      </c>
      <c r="D857" s="8">
        <v>6.06</v>
      </c>
      <c r="E857" s="4">
        <v>97</v>
      </c>
      <c r="F857" s="8">
        <v>8.76</v>
      </c>
      <c r="G857" s="4">
        <v>19</v>
      </c>
      <c r="H857" s="8">
        <v>2.5299999999999998</v>
      </c>
      <c r="I857" s="4">
        <v>0</v>
      </c>
    </row>
    <row r="858" spans="1:9" x14ac:dyDescent="0.2">
      <c r="A858" s="2">
        <v>6</v>
      </c>
      <c r="B858" s="1" t="s">
        <v>108</v>
      </c>
      <c r="C858" s="4">
        <v>102</v>
      </c>
      <c r="D858" s="8">
        <v>5.33</v>
      </c>
      <c r="E858" s="4">
        <v>78</v>
      </c>
      <c r="F858" s="8">
        <v>7.05</v>
      </c>
      <c r="G858" s="4">
        <v>24</v>
      </c>
      <c r="H858" s="8">
        <v>3.2</v>
      </c>
      <c r="I858" s="4">
        <v>0</v>
      </c>
    </row>
    <row r="859" spans="1:9" x14ac:dyDescent="0.2">
      <c r="A859" s="2">
        <v>7</v>
      </c>
      <c r="B859" s="1" t="s">
        <v>81</v>
      </c>
      <c r="C859" s="4">
        <v>93</v>
      </c>
      <c r="D859" s="8">
        <v>4.8600000000000003</v>
      </c>
      <c r="E859" s="4">
        <v>70</v>
      </c>
      <c r="F859" s="8">
        <v>6.32</v>
      </c>
      <c r="G859" s="4">
        <v>21</v>
      </c>
      <c r="H859" s="8">
        <v>2.8</v>
      </c>
      <c r="I859" s="4">
        <v>2</v>
      </c>
    </row>
    <row r="860" spans="1:9" x14ac:dyDescent="0.2">
      <c r="A860" s="2">
        <v>8</v>
      </c>
      <c r="B860" s="1" t="s">
        <v>91</v>
      </c>
      <c r="C860" s="4">
        <v>92</v>
      </c>
      <c r="D860" s="8">
        <v>4.8</v>
      </c>
      <c r="E860" s="4">
        <v>67</v>
      </c>
      <c r="F860" s="8">
        <v>6.05</v>
      </c>
      <c r="G860" s="4">
        <v>16</v>
      </c>
      <c r="H860" s="8">
        <v>2.13</v>
      </c>
      <c r="I860" s="4">
        <v>1</v>
      </c>
    </row>
    <row r="861" spans="1:9" x14ac:dyDescent="0.2">
      <c r="A861" s="2">
        <v>9</v>
      </c>
      <c r="B861" s="1" t="s">
        <v>85</v>
      </c>
      <c r="C861" s="4">
        <v>82</v>
      </c>
      <c r="D861" s="8">
        <v>4.28</v>
      </c>
      <c r="E861" s="4">
        <v>36</v>
      </c>
      <c r="F861" s="8">
        <v>3.25</v>
      </c>
      <c r="G861" s="4">
        <v>45</v>
      </c>
      <c r="H861" s="8">
        <v>5.99</v>
      </c>
      <c r="I861" s="4">
        <v>0</v>
      </c>
    </row>
    <row r="862" spans="1:9" x14ac:dyDescent="0.2">
      <c r="A862" s="2">
        <v>10</v>
      </c>
      <c r="B862" s="1" t="s">
        <v>75</v>
      </c>
      <c r="C862" s="4">
        <v>67</v>
      </c>
      <c r="D862" s="8">
        <v>3.5</v>
      </c>
      <c r="E862" s="4">
        <v>42</v>
      </c>
      <c r="F862" s="8">
        <v>3.79</v>
      </c>
      <c r="G862" s="4">
        <v>25</v>
      </c>
      <c r="H862" s="8">
        <v>3.33</v>
      </c>
      <c r="I862" s="4">
        <v>0</v>
      </c>
    </row>
    <row r="863" spans="1:9" x14ac:dyDescent="0.2">
      <c r="A863" s="2">
        <v>11</v>
      </c>
      <c r="B863" s="1" t="s">
        <v>82</v>
      </c>
      <c r="C863" s="4">
        <v>65</v>
      </c>
      <c r="D863" s="8">
        <v>3.39</v>
      </c>
      <c r="E863" s="4">
        <v>52</v>
      </c>
      <c r="F863" s="8">
        <v>4.7</v>
      </c>
      <c r="G863" s="4">
        <v>13</v>
      </c>
      <c r="H863" s="8">
        <v>1.73</v>
      </c>
      <c r="I863" s="4">
        <v>0</v>
      </c>
    </row>
    <row r="864" spans="1:9" x14ac:dyDescent="0.2">
      <c r="A864" s="2">
        <v>12</v>
      </c>
      <c r="B864" s="1" t="s">
        <v>76</v>
      </c>
      <c r="C864" s="4">
        <v>58</v>
      </c>
      <c r="D864" s="8">
        <v>3.03</v>
      </c>
      <c r="E864" s="4">
        <v>29</v>
      </c>
      <c r="F864" s="8">
        <v>2.62</v>
      </c>
      <c r="G864" s="4">
        <v>29</v>
      </c>
      <c r="H864" s="8">
        <v>3.86</v>
      </c>
      <c r="I864" s="4">
        <v>0</v>
      </c>
    </row>
    <row r="865" spans="1:9" x14ac:dyDescent="0.2">
      <c r="A865" s="2">
        <v>13</v>
      </c>
      <c r="B865" s="1" t="s">
        <v>93</v>
      </c>
      <c r="C865" s="4">
        <v>53</v>
      </c>
      <c r="D865" s="8">
        <v>2.77</v>
      </c>
      <c r="E865" s="4">
        <v>1</v>
      </c>
      <c r="F865" s="8">
        <v>0.09</v>
      </c>
      <c r="G865" s="4">
        <v>25</v>
      </c>
      <c r="H865" s="8">
        <v>3.33</v>
      </c>
      <c r="I865" s="4">
        <v>0</v>
      </c>
    </row>
    <row r="866" spans="1:9" x14ac:dyDescent="0.2">
      <c r="A866" s="2">
        <v>14</v>
      </c>
      <c r="B866" s="1" t="s">
        <v>80</v>
      </c>
      <c r="C866" s="4">
        <v>48</v>
      </c>
      <c r="D866" s="8">
        <v>2.5099999999999998</v>
      </c>
      <c r="E866" s="4">
        <v>26</v>
      </c>
      <c r="F866" s="8">
        <v>2.35</v>
      </c>
      <c r="G866" s="4">
        <v>22</v>
      </c>
      <c r="H866" s="8">
        <v>2.93</v>
      </c>
      <c r="I866" s="4">
        <v>0</v>
      </c>
    </row>
    <row r="867" spans="1:9" x14ac:dyDescent="0.2">
      <c r="A867" s="2">
        <v>15</v>
      </c>
      <c r="B867" s="1" t="s">
        <v>86</v>
      </c>
      <c r="C867" s="4">
        <v>36</v>
      </c>
      <c r="D867" s="8">
        <v>1.88</v>
      </c>
      <c r="E867" s="4">
        <v>24</v>
      </c>
      <c r="F867" s="8">
        <v>2.17</v>
      </c>
      <c r="G867" s="4">
        <v>12</v>
      </c>
      <c r="H867" s="8">
        <v>1.6</v>
      </c>
      <c r="I867" s="4">
        <v>0</v>
      </c>
    </row>
    <row r="868" spans="1:9" x14ac:dyDescent="0.2">
      <c r="A868" s="2">
        <v>16</v>
      </c>
      <c r="B868" s="1" t="s">
        <v>92</v>
      </c>
      <c r="C868" s="4">
        <v>35</v>
      </c>
      <c r="D868" s="8">
        <v>1.83</v>
      </c>
      <c r="E868" s="4">
        <v>30</v>
      </c>
      <c r="F868" s="8">
        <v>2.71</v>
      </c>
      <c r="G868" s="4">
        <v>5</v>
      </c>
      <c r="H868" s="8">
        <v>0.67</v>
      </c>
      <c r="I868" s="4">
        <v>0</v>
      </c>
    </row>
    <row r="869" spans="1:9" x14ac:dyDescent="0.2">
      <c r="A869" s="2">
        <v>17</v>
      </c>
      <c r="B869" s="1" t="s">
        <v>87</v>
      </c>
      <c r="C869" s="4">
        <v>28</v>
      </c>
      <c r="D869" s="8">
        <v>1.46</v>
      </c>
      <c r="E869" s="4">
        <v>13</v>
      </c>
      <c r="F869" s="8">
        <v>1.17</v>
      </c>
      <c r="G869" s="4">
        <v>14</v>
      </c>
      <c r="H869" s="8">
        <v>1.86</v>
      </c>
      <c r="I869" s="4">
        <v>0</v>
      </c>
    </row>
    <row r="870" spans="1:9" x14ac:dyDescent="0.2">
      <c r="A870" s="2">
        <v>18</v>
      </c>
      <c r="B870" s="1" t="s">
        <v>77</v>
      </c>
      <c r="C870" s="4">
        <v>27</v>
      </c>
      <c r="D870" s="8">
        <v>1.41</v>
      </c>
      <c r="E870" s="4">
        <v>13</v>
      </c>
      <c r="F870" s="8">
        <v>1.17</v>
      </c>
      <c r="G870" s="4">
        <v>14</v>
      </c>
      <c r="H870" s="8">
        <v>1.86</v>
      </c>
      <c r="I870" s="4">
        <v>0</v>
      </c>
    </row>
    <row r="871" spans="1:9" x14ac:dyDescent="0.2">
      <c r="A871" s="2">
        <v>19</v>
      </c>
      <c r="B871" s="1" t="s">
        <v>97</v>
      </c>
      <c r="C871" s="4">
        <v>25</v>
      </c>
      <c r="D871" s="8">
        <v>1.31</v>
      </c>
      <c r="E871" s="4">
        <v>8</v>
      </c>
      <c r="F871" s="8">
        <v>0.72</v>
      </c>
      <c r="G871" s="4">
        <v>17</v>
      </c>
      <c r="H871" s="8">
        <v>2.2599999999999998</v>
      </c>
      <c r="I871" s="4">
        <v>0</v>
      </c>
    </row>
    <row r="872" spans="1:9" x14ac:dyDescent="0.2">
      <c r="A872" s="2">
        <v>20</v>
      </c>
      <c r="B872" s="1" t="s">
        <v>95</v>
      </c>
      <c r="C872" s="4">
        <v>24</v>
      </c>
      <c r="D872" s="8">
        <v>1.25</v>
      </c>
      <c r="E872" s="4">
        <v>6</v>
      </c>
      <c r="F872" s="8">
        <v>0.54</v>
      </c>
      <c r="G872" s="4">
        <v>18</v>
      </c>
      <c r="H872" s="8">
        <v>2.4</v>
      </c>
      <c r="I872" s="4">
        <v>0</v>
      </c>
    </row>
    <row r="873" spans="1:9" x14ac:dyDescent="0.2">
      <c r="A873" s="1"/>
      <c r="C873" s="4"/>
      <c r="D873" s="8"/>
      <c r="E873" s="4"/>
      <c r="F873" s="8"/>
      <c r="G873" s="4"/>
      <c r="H873" s="8"/>
      <c r="I873" s="4"/>
    </row>
    <row r="874" spans="1:9" x14ac:dyDescent="0.2">
      <c r="A874" s="1" t="s">
        <v>39</v>
      </c>
      <c r="C874" s="4"/>
      <c r="D874" s="8"/>
      <c r="E874" s="4"/>
      <c r="F874" s="8"/>
      <c r="G874" s="4"/>
      <c r="H874" s="8"/>
      <c r="I874" s="4"/>
    </row>
    <row r="875" spans="1:9" x14ac:dyDescent="0.2">
      <c r="A875" s="2">
        <v>1</v>
      </c>
      <c r="B875" s="1" t="s">
        <v>74</v>
      </c>
      <c r="C875" s="4">
        <v>33</v>
      </c>
      <c r="D875" s="8">
        <v>10.54</v>
      </c>
      <c r="E875" s="4">
        <v>7</v>
      </c>
      <c r="F875" s="8">
        <v>5.83</v>
      </c>
      <c r="G875" s="4">
        <v>26</v>
      </c>
      <c r="H875" s="8">
        <v>13.76</v>
      </c>
      <c r="I875" s="4">
        <v>0</v>
      </c>
    </row>
    <row r="876" spans="1:9" x14ac:dyDescent="0.2">
      <c r="A876" s="2">
        <v>2</v>
      </c>
      <c r="B876" s="1" t="s">
        <v>88</v>
      </c>
      <c r="C876" s="4">
        <v>29</v>
      </c>
      <c r="D876" s="8">
        <v>9.27</v>
      </c>
      <c r="E876" s="4">
        <v>19</v>
      </c>
      <c r="F876" s="8">
        <v>15.83</v>
      </c>
      <c r="G876" s="4">
        <v>10</v>
      </c>
      <c r="H876" s="8">
        <v>5.29</v>
      </c>
      <c r="I876" s="4">
        <v>0</v>
      </c>
    </row>
    <row r="877" spans="1:9" x14ac:dyDescent="0.2">
      <c r="A877" s="2">
        <v>3</v>
      </c>
      <c r="B877" s="1" t="s">
        <v>75</v>
      </c>
      <c r="C877" s="4">
        <v>23</v>
      </c>
      <c r="D877" s="8">
        <v>7.35</v>
      </c>
      <c r="E877" s="4">
        <v>11</v>
      </c>
      <c r="F877" s="8">
        <v>9.17</v>
      </c>
      <c r="G877" s="4">
        <v>12</v>
      </c>
      <c r="H877" s="8">
        <v>6.35</v>
      </c>
      <c r="I877" s="4">
        <v>0</v>
      </c>
    </row>
    <row r="878" spans="1:9" x14ac:dyDescent="0.2">
      <c r="A878" s="2">
        <v>4</v>
      </c>
      <c r="B878" s="1" t="s">
        <v>89</v>
      </c>
      <c r="C878" s="4">
        <v>21</v>
      </c>
      <c r="D878" s="8">
        <v>6.71</v>
      </c>
      <c r="E878" s="4">
        <v>17</v>
      </c>
      <c r="F878" s="8">
        <v>14.17</v>
      </c>
      <c r="G878" s="4">
        <v>4</v>
      </c>
      <c r="H878" s="8">
        <v>2.12</v>
      </c>
      <c r="I878" s="4">
        <v>0</v>
      </c>
    </row>
    <row r="879" spans="1:9" x14ac:dyDescent="0.2">
      <c r="A879" s="2">
        <v>5</v>
      </c>
      <c r="B879" s="1" t="s">
        <v>76</v>
      </c>
      <c r="C879" s="4">
        <v>18</v>
      </c>
      <c r="D879" s="8">
        <v>5.75</v>
      </c>
      <c r="E879" s="4">
        <v>7</v>
      </c>
      <c r="F879" s="8">
        <v>5.83</v>
      </c>
      <c r="G879" s="4">
        <v>11</v>
      </c>
      <c r="H879" s="8">
        <v>5.82</v>
      </c>
      <c r="I879" s="4">
        <v>0</v>
      </c>
    </row>
    <row r="880" spans="1:9" x14ac:dyDescent="0.2">
      <c r="A880" s="2">
        <v>6</v>
      </c>
      <c r="B880" s="1" t="s">
        <v>91</v>
      </c>
      <c r="C880" s="4">
        <v>17</v>
      </c>
      <c r="D880" s="8">
        <v>5.43</v>
      </c>
      <c r="E880" s="4">
        <v>5</v>
      </c>
      <c r="F880" s="8">
        <v>4.17</v>
      </c>
      <c r="G880" s="4">
        <v>9</v>
      </c>
      <c r="H880" s="8">
        <v>4.76</v>
      </c>
      <c r="I880" s="4">
        <v>0</v>
      </c>
    </row>
    <row r="881" spans="1:9" x14ac:dyDescent="0.2">
      <c r="A881" s="2">
        <v>7</v>
      </c>
      <c r="B881" s="1" t="s">
        <v>90</v>
      </c>
      <c r="C881" s="4">
        <v>13</v>
      </c>
      <c r="D881" s="8">
        <v>4.1500000000000004</v>
      </c>
      <c r="E881" s="4">
        <v>3</v>
      </c>
      <c r="F881" s="8">
        <v>2.5</v>
      </c>
      <c r="G881" s="4">
        <v>10</v>
      </c>
      <c r="H881" s="8">
        <v>5.29</v>
      </c>
      <c r="I881" s="4">
        <v>0</v>
      </c>
    </row>
    <row r="882" spans="1:9" x14ac:dyDescent="0.2">
      <c r="A882" s="2">
        <v>8</v>
      </c>
      <c r="B882" s="1" t="s">
        <v>86</v>
      </c>
      <c r="C882" s="4">
        <v>12</v>
      </c>
      <c r="D882" s="8">
        <v>3.83</v>
      </c>
      <c r="E882" s="4">
        <v>6</v>
      </c>
      <c r="F882" s="8">
        <v>5</v>
      </c>
      <c r="G882" s="4">
        <v>6</v>
      </c>
      <c r="H882" s="8">
        <v>3.17</v>
      </c>
      <c r="I882" s="4">
        <v>0</v>
      </c>
    </row>
    <row r="883" spans="1:9" x14ac:dyDescent="0.2">
      <c r="A883" s="2">
        <v>9</v>
      </c>
      <c r="B883" s="1" t="s">
        <v>81</v>
      </c>
      <c r="C883" s="4">
        <v>11</v>
      </c>
      <c r="D883" s="8">
        <v>3.51</v>
      </c>
      <c r="E883" s="4">
        <v>10</v>
      </c>
      <c r="F883" s="8">
        <v>8.33</v>
      </c>
      <c r="G883" s="4">
        <v>1</v>
      </c>
      <c r="H883" s="8">
        <v>0.53</v>
      </c>
      <c r="I883" s="4">
        <v>0</v>
      </c>
    </row>
    <row r="884" spans="1:9" x14ac:dyDescent="0.2">
      <c r="A884" s="2">
        <v>10</v>
      </c>
      <c r="B884" s="1" t="s">
        <v>83</v>
      </c>
      <c r="C884" s="4">
        <v>10</v>
      </c>
      <c r="D884" s="8">
        <v>3.19</v>
      </c>
      <c r="E884" s="4">
        <v>4</v>
      </c>
      <c r="F884" s="8">
        <v>3.33</v>
      </c>
      <c r="G884" s="4">
        <v>6</v>
      </c>
      <c r="H884" s="8">
        <v>3.17</v>
      </c>
      <c r="I884" s="4">
        <v>0</v>
      </c>
    </row>
    <row r="885" spans="1:9" x14ac:dyDescent="0.2">
      <c r="A885" s="2">
        <v>11</v>
      </c>
      <c r="B885" s="1" t="s">
        <v>78</v>
      </c>
      <c r="C885" s="4">
        <v>9</v>
      </c>
      <c r="D885" s="8">
        <v>2.88</v>
      </c>
      <c r="E885" s="4">
        <v>1</v>
      </c>
      <c r="F885" s="8">
        <v>0.83</v>
      </c>
      <c r="G885" s="4">
        <v>8</v>
      </c>
      <c r="H885" s="8">
        <v>4.2300000000000004</v>
      </c>
      <c r="I885" s="4">
        <v>0</v>
      </c>
    </row>
    <row r="886" spans="1:9" x14ac:dyDescent="0.2">
      <c r="A886" s="2">
        <v>12</v>
      </c>
      <c r="B886" s="1" t="s">
        <v>82</v>
      </c>
      <c r="C886" s="4">
        <v>8</v>
      </c>
      <c r="D886" s="8">
        <v>2.56</v>
      </c>
      <c r="E886" s="4">
        <v>3</v>
      </c>
      <c r="F886" s="8">
        <v>2.5</v>
      </c>
      <c r="G886" s="4">
        <v>5</v>
      </c>
      <c r="H886" s="8">
        <v>2.65</v>
      </c>
      <c r="I886" s="4">
        <v>0</v>
      </c>
    </row>
    <row r="887" spans="1:9" x14ac:dyDescent="0.2">
      <c r="A887" s="2">
        <v>12</v>
      </c>
      <c r="B887" s="1" t="s">
        <v>85</v>
      </c>
      <c r="C887" s="4">
        <v>8</v>
      </c>
      <c r="D887" s="8">
        <v>2.56</v>
      </c>
      <c r="E887" s="4">
        <v>0</v>
      </c>
      <c r="F887" s="8">
        <v>0</v>
      </c>
      <c r="G887" s="4">
        <v>8</v>
      </c>
      <c r="H887" s="8">
        <v>4.2300000000000004</v>
      </c>
      <c r="I887" s="4">
        <v>0</v>
      </c>
    </row>
    <row r="888" spans="1:9" x14ac:dyDescent="0.2">
      <c r="A888" s="2">
        <v>12</v>
      </c>
      <c r="B888" s="1" t="s">
        <v>87</v>
      </c>
      <c r="C888" s="4">
        <v>8</v>
      </c>
      <c r="D888" s="8">
        <v>2.56</v>
      </c>
      <c r="E888" s="4">
        <v>4</v>
      </c>
      <c r="F888" s="8">
        <v>3.33</v>
      </c>
      <c r="G888" s="4">
        <v>4</v>
      </c>
      <c r="H888" s="8">
        <v>2.12</v>
      </c>
      <c r="I888" s="4">
        <v>0</v>
      </c>
    </row>
    <row r="889" spans="1:9" x14ac:dyDescent="0.2">
      <c r="A889" s="2">
        <v>15</v>
      </c>
      <c r="B889" s="1" t="s">
        <v>92</v>
      </c>
      <c r="C889" s="4">
        <v>7</v>
      </c>
      <c r="D889" s="8">
        <v>2.2400000000000002</v>
      </c>
      <c r="E889" s="4">
        <v>6</v>
      </c>
      <c r="F889" s="8">
        <v>5</v>
      </c>
      <c r="G889" s="4">
        <v>1</v>
      </c>
      <c r="H889" s="8">
        <v>0.53</v>
      </c>
      <c r="I889" s="4">
        <v>0</v>
      </c>
    </row>
    <row r="890" spans="1:9" x14ac:dyDescent="0.2">
      <c r="A890" s="2">
        <v>15</v>
      </c>
      <c r="B890" s="1" t="s">
        <v>94</v>
      </c>
      <c r="C890" s="4">
        <v>7</v>
      </c>
      <c r="D890" s="8">
        <v>2.2400000000000002</v>
      </c>
      <c r="E890" s="4">
        <v>0</v>
      </c>
      <c r="F890" s="8">
        <v>0</v>
      </c>
      <c r="G890" s="4">
        <v>7</v>
      </c>
      <c r="H890" s="8">
        <v>3.7</v>
      </c>
      <c r="I890" s="4">
        <v>0</v>
      </c>
    </row>
    <row r="891" spans="1:9" x14ac:dyDescent="0.2">
      <c r="A891" s="2">
        <v>17</v>
      </c>
      <c r="B891" s="1" t="s">
        <v>93</v>
      </c>
      <c r="C891" s="4">
        <v>6</v>
      </c>
      <c r="D891" s="8">
        <v>1.92</v>
      </c>
      <c r="E891" s="4">
        <v>0</v>
      </c>
      <c r="F891" s="8">
        <v>0</v>
      </c>
      <c r="G891" s="4">
        <v>6</v>
      </c>
      <c r="H891" s="8">
        <v>3.17</v>
      </c>
      <c r="I891" s="4">
        <v>0</v>
      </c>
    </row>
    <row r="892" spans="1:9" x14ac:dyDescent="0.2">
      <c r="A892" s="2">
        <v>18</v>
      </c>
      <c r="B892" s="1" t="s">
        <v>97</v>
      </c>
      <c r="C892" s="4">
        <v>5</v>
      </c>
      <c r="D892" s="8">
        <v>1.6</v>
      </c>
      <c r="E892" s="4">
        <v>1</v>
      </c>
      <c r="F892" s="8">
        <v>0.83</v>
      </c>
      <c r="G892" s="4">
        <v>4</v>
      </c>
      <c r="H892" s="8">
        <v>2.12</v>
      </c>
      <c r="I892" s="4">
        <v>0</v>
      </c>
    </row>
    <row r="893" spans="1:9" x14ac:dyDescent="0.2">
      <c r="A893" s="2">
        <v>18</v>
      </c>
      <c r="B893" s="1" t="s">
        <v>80</v>
      </c>
      <c r="C893" s="4">
        <v>5</v>
      </c>
      <c r="D893" s="8">
        <v>1.6</v>
      </c>
      <c r="E893" s="4">
        <v>0</v>
      </c>
      <c r="F893" s="8">
        <v>0</v>
      </c>
      <c r="G893" s="4">
        <v>5</v>
      </c>
      <c r="H893" s="8">
        <v>2.65</v>
      </c>
      <c r="I893" s="4">
        <v>0</v>
      </c>
    </row>
    <row r="894" spans="1:9" x14ac:dyDescent="0.2">
      <c r="A894" s="2">
        <v>18</v>
      </c>
      <c r="B894" s="1" t="s">
        <v>118</v>
      </c>
      <c r="C894" s="4">
        <v>5</v>
      </c>
      <c r="D894" s="8">
        <v>1.6</v>
      </c>
      <c r="E894" s="4">
        <v>0</v>
      </c>
      <c r="F894" s="8">
        <v>0</v>
      </c>
      <c r="G894" s="4">
        <v>5</v>
      </c>
      <c r="H894" s="8">
        <v>2.65</v>
      </c>
      <c r="I894" s="4">
        <v>0</v>
      </c>
    </row>
    <row r="895" spans="1:9" x14ac:dyDescent="0.2">
      <c r="A895" s="2">
        <v>18</v>
      </c>
      <c r="B895" s="1" t="s">
        <v>104</v>
      </c>
      <c r="C895" s="4">
        <v>5</v>
      </c>
      <c r="D895" s="8">
        <v>1.6</v>
      </c>
      <c r="E895" s="4">
        <v>4</v>
      </c>
      <c r="F895" s="8">
        <v>3.33</v>
      </c>
      <c r="G895" s="4">
        <v>1</v>
      </c>
      <c r="H895" s="8">
        <v>0.53</v>
      </c>
      <c r="I895" s="4">
        <v>0</v>
      </c>
    </row>
    <row r="896" spans="1:9" x14ac:dyDescent="0.2">
      <c r="A896" s="1"/>
      <c r="C896" s="4"/>
      <c r="D896" s="8"/>
      <c r="E896" s="4"/>
      <c r="F896" s="8"/>
      <c r="G896" s="4"/>
      <c r="H896" s="8"/>
      <c r="I896" s="4"/>
    </row>
    <row r="897" spans="1:9" x14ac:dyDescent="0.2">
      <c r="A897" s="1" t="s">
        <v>40</v>
      </c>
      <c r="C897" s="4"/>
      <c r="D897" s="8"/>
      <c r="E897" s="4"/>
      <c r="F897" s="8"/>
      <c r="G897" s="4"/>
      <c r="H897" s="8"/>
      <c r="I897" s="4"/>
    </row>
    <row r="898" spans="1:9" x14ac:dyDescent="0.2">
      <c r="A898" s="2">
        <v>1</v>
      </c>
      <c r="B898" s="1" t="s">
        <v>110</v>
      </c>
      <c r="C898" s="4">
        <v>144</v>
      </c>
      <c r="D898" s="8">
        <v>20.45</v>
      </c>
      <c r="E898" s="4">
        <v>92</v>
      </c>
      <c r="F898" s="8">
        <v>19.170000000000002</v>
      </c>
      <c r="G898" s="4">
        <v>52</v>
      </c>
      <c r="H898" s="8">
        <v>23.42</v>
      </c>
      <c r="I898" s="4">
        <v>0</v>
      </c>
    </row>
    <row r="899" spans="1:9" x14ac:dyDescent="0.2">
      <c r="A899" s="2">
        <v>2</v>
      </c>
      <c r="B899" s="1" t="s">
        <v>74</v>
      </c>
      <c r="C899" s="4">
        <v>65</v>
      </c>
      <c r="D899" s="8">
        <v>9.23</v>
      </c>
      <c r="E899" s="4">
        <v>41</v>
      </c>
      <c r="F899" s="8">
        <v>8.5399999999999991</v>
      </c>
      <c r="G899" s="4">
        <v>24</v>
      </c>
      <c r="H899" s="8">
        <v>10.81</v>
      </c>
      <c r="I899" s="4">
        <v>0</v>
      </c>
    </row>
    <row r="900" spans="1:9" x14ac:dyDescent="0.2">
      <c r="A900" s="2">
        <v>3</v>
      </c>
      <c r="B900" s="1" t="s">
        <v>89</v>
      </c>
      <c r="C900" s="4">
        <v>52</v>
      </c>
      <c r="D900" s="8">
        <v>7.39</v>
      </c>
      <c r="E900" s="4">
        <v>50</v>
      </c>
      <c r="F900" s="8">
        <v>10.42</v>
      </c>
      <c r="G900" s="4">
        <v>2</v>
      </c>
      <c r="H900" s="8">
        <v>0.9</v>
      </c>
      <c r="I900" s="4">
        <v>0</v>
      </c>
    </row>
    <row r="901" spans="1:9" x14ac:dyDescent="0.2">
      <c r="A901" s="2">
        <v>4</v>
      </c>
      <c r="B901" s="1" t="s">
        <v>75</v>
      </c>
      <c r="C901" s="4">
        <v>44</v>
      </c>
      <c r="D901" s="8">
        <v>6.25</v>
      </c>
      <c r="E901" s="4">
        <v>36</v>
      </c>
      <c r="F901" s="8">
        <v>7.5</v>
      </c>
      <c r="G901" s="4">
        <v>8</v>
      </c>
      <c r="H901" s="8">
        <v>3.6</v>
      </c>
      <c r="I901" s="4">
        <v>0</v>
      </c>
    </row>
    <row r="902" spans="1:9" x14ac:dyDescent="0.2">
      <c r="A902" s="2">
        <v>5</v>
      </c>
      <c r="B902" s="1" t="s">
        <v>83</v>
      </c>
      <c r="C902" s="4">
        <v>43</v>
      </c>
      <c r="D902" s="8">
        <v>6.11</v>
      </c>
      <c r="E902" s="4">
        <v>27</v>
      </c>
      <c r="F902" s="8">
        <v>5.63</v>
      </c>
      <c r="G902" s="4">
        <v>16</v>
      </c>
      <c r="H902" s="8">
        <v>7.21</v>
      </c>
      <c r="I902" s="4">
        <v>0</v>
      </c>
    </row>
    <row r="903" spans="1:9" x14ac:dyDescent="0.2">
      <c r="A903" s="2">
        <v>6</v>
      </c>
      <c r="B903" s="1" t="s">
        <v>88</v>
      </c>
      <c r="C903" s="4">
        <v>36</v>
      </c>
      <c r="D903" s="8">
        <v>5.1100000000000003</v>
      </c>
      <c r="E903" s="4">
        <v>35</v>
      </c>
      <c r="F903" s="8">
        <v>7.29</v>
      </c>
      <c r="G903" s="4">
        <v>1</v>
      </c>
      <c r="H903" s="8">
        <v>0.45</v>
      </c>
      <c r="I903" s="4">
        <v>0</v>
      </c>
    </row>
    <row r="904" spans="1:9" x14ac:dyDescent="0.2">
      <c r="A904" s="2">
        <v>7</v>
      </c>
      <c r="B904" s="1" t="s">
        <v>76</v>
      </c>
      <c r="C904" s="4">
        <v>32</v>
      </c>
      <c r="D904" s="8">
        <v>4.55</v>
      </c>
      <c r="E904" s="4">
        <v>23</v>
      </c>
      <c r="F904" s="8">
        <v>4.79</v>
      </c>
      <c r="G904" s="4">
        <v>9</v>
      </c>
      <c r="H904" s="8">
        <v>4.05</v>
      </c>
      <c r="I904" s="4">
        <v>0</v>
      </c>
    </row>
    <row r="905" spans="1:9" x14ac:dyDescent="0.2">
      <c r="A905" s="2">
        <v>8</v>
      </c>
      <c r="B905" s="1" t="s">
        <v>82</v>
      </c>
      <c r="C905" s="4">
        <v>29</v>
      </c>
      <c r="D905" s="8">
        <v>4.12</v>
      </c>
      <c r="E905" s="4">
        <v>23</v>
      </c>
      <c r="F905" s="8">
        <v>4.79</v>
      </c>
      <c r="G905" s="4">
        <v>6</v>
      </c>
      <c r="H905" s="8">
        <v>2.7</v>
      </c>
      <c r="I905" s="4">
        <v>0</v>
      </c>
    </row>
    <row r="906" spans="1:9" x14ac:dyDescent="0.2">
      <c r="A906" s="2">
        <v>9</v>
      </c>
      <c r="B906" s="1" t="s">
        <v>81</v>
      </c>
      <c r="C906" s="4">
        <v>28</v>
      </c>
      <c r="D906" s="8">
        <v>3.98</v>
      </c>
      <c r="E906" s="4">
        <v>23</v>
      </c>
      <c r="F906" s="8">
        <v>4.79</v>
      </c>
      <c r="G906" s="4">
        <v>5</v>
      </c>
      <c r="H906" s="8">
        <v>2.25</v>
      </c>
      <c r="I906" s="4">
        <v>0</v>
      </c>
    </row>
    <row r="907" spans="1:9" x14ac:dyDescent="0.2">
      <c r="A907" s="2">
        <v>10</v>
      </c>
      <c r="B907" s="1" t="s">
        <v>77</v>
      </c>
      <c r="C907" s="4">
        <v>17</v>
      </c>
      <c r="D907" s="8">
        <v>2.41</v>
      </c>
      <c r="E907" s="4">
        <v>11</v>
      </c>
      <c r="F907" s="8">
        <v>2.29</v>
      </c>
      <c r="G907" s="4">
        <v>6</v>
      </c>
      <c r="H907" s="8">
        <v>2.7</v>
      </c>
      <c r="I907" s="4">
        <v>0</v>
      </c>
    </row>
    <row r="908" spans="1:9" x14ac:dyDescent="0.2">
      <c r="A908" s="2">
        <v>11</v>
      </c>
      <c r="B908" s="1" t="s">
        <v>80</v>
      </c>
      <c r="C908" s="4">
        <v>15</v>
      </c>
      <c r="D908" s="8">
        <v>2.13</v>
      </c>
      <c r="E908" s="4">
        <v>13</v>
      </c>
      <c r="F908" s="8">
        <v>2.71</v>
      </c>
      <c r="G908" s="4">
        <v>2</v>
      </c>
      <c r="H908" s="8">
        <v>0.9</v>
      </c>
      <c r="I908" s="4">
        <v>0</v>
      </c>
    </row>
    <row r="909" spans="1:9" x14ac:dyDescent="0.2">
      <c r="A909" s="2">
        <v>12</v>
      </c>
      <c r="B909" s="1" t="s">
        <v>100</v>
      </c>
      <c r="C909" s="4">
        <v>12</v>
      </c>
      <c r="D909" s="8">
        <v>1.7</v>
      </c>
      <c r="E909" s="4">
        <v>7</v>
      </c>
      <c r="F909" s="8">
        <v>1.46</v>
      </c>
      <c r="G909" s="4">
        <v>5</v>
      </c>
      <c r="H909" s="8">
        <v>2.25</v>
      </c>
      <c r="I909" s="4">
        <v>0</v>
      </c>
    </row>
    <row r="910" spans="1:9" x14ac:dyDescent="0.2">
      <c r="A910" s="2">
        <v>13</v>
      </c>
      <c r="B910" s="1" t="s">
        <v>86</v>
      </c>
      <c r="C910" s="4">
        <v>11</v>
      </c>
      <c r="D910" s="8">
        <v>1.56</v>
      </c>
      <c r="E910" s="4">
        <v>11</v>
      </c>
      <c r="F910" s="8">
        <v>2.29</v>
      </c>
      <c r="G910" s="4">
        <v>0</v>
      </c>
      <c r="H910" s="8">
        <v>0</v>
      </c>
      <c r="I910" s="4">
        <v>0</v>
      </c>
    </row>
    <row r="911" spans="1:9" x14ac:dyDescent="0.2">
      <c r="A911" s="2">
        <v>13</v>
      </c>
      <c r="B911" s="1" t="s">
        <v>87</v>
      </c>
      <c r="C911" s="4">
        <v>11</v>
      </c>
      <c r="D911" s="8">
        <v>1.56</v>
      </c>
      <c r="E911" s="4">
        <v>7</v>
      </c>
      <c r="F911" s="8">
        <v>1.46</v>
      </c>
      <c r="G911" s="4">
        <v>4</v>
      </c>
      <c r="H911" s="8">
        <v>1.8</v>
      </c>
      <c r="I911" s="4">
        <v>0</v>
      </c>
    </row>
    <row r="912" spans="1:9" x14ac:dyDescent="0.2">
      <c r="A912" s="2">
        <v>13</v>
      </c>
      <c r="B912" s="1" t="s">
        <v>91</v>
      </c>
      <c r="C912" s="4">
        <v>11</v>
      </c>
      <c r="D912" s="8">
        <v>1.56</v>
      </c>
      <c r="E912" s="4">
        <v>9</v>
      </c>
      <c r="F912" s="8">
        <v>1.88</v>
      </c>
      <c r="G912" s="4">
        <v>2</v>
      </c>
      <c r="H912" s="8">
        <v>0.9</v>
      </c>
      <c r="I912" s="4">
        <v>0</v>
      </c>
    </row>
    <row r="913" spans="1:9" x14ac:dyDescent="0.2">
      <c r="A913" s="2">
        <v>13</v>
      </c>
      <c r="B913" s="1" t="s">
        <v>104</v>
      </c>
      <c r="C913" s="4">
        <v>11</v>
      </c>
      <c r="D913" s="8">
        <v>1.56</v>
      </c>
      <c r="E913" s="4">
        <v>9</v>
      </c>
      <c r="F913" s="8">
        <v>1.88</v>
      </c>
      <c r="G913" s="4">
        <v>2</v>
      </c>
      <c r="H913" s="8">
        <v>0.9</v>
      </c>
      <c r="I913" s="4">
        <v>0</v>
      </c>
    </row>
    <row r="914" spans="1:9" x14ac:dyDescent="0.2">
      <c r="A914" s="2">
        <v>17</v>
      </c>
      <c r="B914" s="1" t="s">
        <v>93</v>
      </c>
      <c r="C914" s="4">
        <v>10</v>
      </c>
      <c r="D914" s="8">
        <v>1.42</v>
      </c>
      <c r="E914" s="4">
        <v>1</v>
      </c>
      <c r="F914" s="8">
        <v>0.21</v>
      </c>
      <c r="G914" s="4">
        <v>9</v>
      </c>
      <c r="H914" s="8">
        <v>4.05</v>
      </c>
      <c r="I914" s="4">
        <v>0</v>
      </c>
    </row>
    <row r="915" spans="1:9" x14ac:dyDescent="0.2">
      <c r="A915" s="2">
        <v>18</v>
      </c>
      <c r="B915" s="1" t="s">
        <v>108</v>
      </c>
      <c r="C915" s="4">
        <v>9</v>
      </c>
      <c r="D915" s="8">
        <v>1.28</v>
      </c>
      <c r="E915" s="4">
        <v>3</v>
      </c>
      <c r="F915" s="8">
        <v>0.63</v>
      </c>
      <c r="G915" s="4">
        <v>6</v>
      </c>
      <c r="H915" s="8">
        <v>2.7</v>
      </c>
      <c r="I915" s="4">
        <v>0</v>
      </c>
    </row>
    <row r="916" spans="1:9" x14ac:dyDescent="0.2">
      <c r="A916" s="2">
        <v>18</v>
      </c>
      <c r="B916" s="1" t="s">
        <v>92</v>
      </c>
      <c r="C916" s="4">
        <v>9</v>
      </c>
      <c r="D916" s="8">
        <v>1.28</v>
      </c>
      <c r="E916" s="4">
        <v>8</v>
      </c>
      <c r="F916" s="8">
        <v>1.67</v>
      </c>
      <c r="G916" s="4">
        <v>1</v>
      </c>
      <c r="H916" s="8">
        <v>0.45</v>
      </c>
      <c r="I916" s="4">
        <v>0</v>
      </c>
    </row>
    <row r="917" spans="1:9" x14ac:dyDescent="0.2">
      <c r="A917" s="2">
        <v>20</v>
      </c>
      <c r="B917" s="1" t="s">
        <v>113</v>
      </c>
      <c r="C917" s="4">
        <v>8</v>
      </c>
      <c r="D917" s="8">
        <v>1.1399999999999999</v>
      </c>
      <c r="E917" s="4">
        <v>4</v>
      </c>
      <c r="F917" s="8">
        <v>0.83</v>
      </c>
      <c r="G917" s="4">
        <v>4</v>
      </c>
      <c r="H917" s="8">
        <v>1.8</v>
      </c>
      <c r="I917" s="4">
        <v>0</v>
      </c>
    </row>
    <row r="918" spans="1:9" x14ac:dyDescent="0.2">
      <c r="A918" s="2">
        <v>20</v>
      </c>
      <c r="B918" s="1" t="s">
        <v>111</v>
      </c>
      <c r="C918" s="4">
        <v>8</v>
      </c>
      <c r="D918" s="8">
        <v>1.1399999999999999</v>
      </c>
      <c r="E918" s="4">
        <v>5</v>
      </c>
      <c r="F918" s="8">
        <v>1.04</v>
      </c>
      <c r="G918" s="4">
        <v>3</v>
      </c>
      <c r="H918" s="8">
        <v>1.35</v>
      </c>
      <c r="I918" s="4">
        <v>0</v>
      </c>
    </row>
    <row r="919" spans="1:9" x14ac:dyDescent="0.2">
      <c r="A919" s="1"/>
      <c r="C919" s="4"/>
      <c r="D919" s="8"/>
      <c r="E919" s="4"/>
      <c r="F919" s="8"/>
      <c r="G919" s="4"/>
      <c r="H919" s="8"/>
      <c r="I919" s="4"/>
    </row>
    <row r="920" spans="1:9" x14ac:dyDescent="0.2">
      <c r="A920" s="1" t="s">
        <v>41</v>
      </c>
      <c r="C920" s="4"/>
      <c r="D920" s="8"/>
      <c r="E920" s="4"/>
      <c r="F920" s="8"/>
      <c r="G920" s="4"/>
      <c r="H920" s="8"/>
      <c r="I920" s="4"/>
    </row>
    <row r="921" spans="1:9" x14ac:dyDescent="0.2">
      <c r="A921" s="2">
        <v>1</v>
      </c>
      <c r="B921" s="1" t="s">
        <v>74</v>
      </c>
      <c r="C921" s="4">
        <v>60</v>
      </c>
      <c r="D921" s="8">
        <v>9.49</v>
      </c>
      <c r="E921" s="4">
        <v>12</v>
      </c>
      <c r="F921" s="8">
        <v>4.3</v>
      </c>
      <c r="G921" s="4">
        <v>48</v>
      </c>
      <c r="H921" s="8">
        <v>13.95</v>
      </c>
      <c r="I921" s="4">
        <v>0</v>
      </c>
    </row>
    <row r="922" spans="1:9" x14ac:dyDescent="0.2">
      <c r="A922" s="2">
        <v>2</v>
      </c>
      <c r="B922" s="1" t="s">
        <v>89</v>
      </c>
      <c r="C922" s="4">
        <v>46</v>
      </c>
      <c r="D922" s="8">
        <v>7.28</v>
      </c>
      <c r="E922" s="4">
        <v>37</v>
      </c>
      <c r="F922" s="8">
        <v>13.26</v>
      </c>
      <c r="G922" s="4">
        <v>9</v>
      </c>
      <c r="H922" s="8">
        <v>2.62</v>
      </c>
      <c r="I922" s="4">
        <v>0</v>
      </c>
    </row>
    <row r="923" spans="1:9" x14ac:dyDescent="0.2">
      <c r="A923" s="2">
        <v>3</v>
      </c>
      <c r="B923" s="1" t="s">
        <v>88</v>
      </c>
      <c r="C923" s="4">
        <v>43</v>
      </c>
      <c r="D923" s="8">
        <v>6.8</v>
      </c>
      <c r="E923" s="4">
        <v>39</v>
      </c>
      <c r="F923" s="8">
        <v>13.98</v>
      </c>
      <c r="G923" s="4">
        <v>4</v>
      </c>
      <c r="H923" s="8">
        <v>1.1599999999999999</v>
      </c>
      <c r="I923" s="4">
        <v>0</v>
      </c>
    </row>
    <row r="924" spans="1:9" x14ac:dyDescent="0.2">
      <c r="A924" s="2">
        <v>4</v>
      </c>
      <c r="B924" s="1" t="s">
        <v>77</v>
      </c>
      <c r="C924" s="4">
        <v>41</v>
      </c>
      <c r="D924" s="8">
        <v>6.49</v>
      </c>
      <c r="E924" s="4">
        <v>13</v>
      </c>
      <c r="F924" s="8">
        <v>4.66</v>
      </c>
      <c r="G924" s="4">
        <v>28</v>
      </c>
      <c r="H924" s="8">
        <v>8.14</v>
      </c>
      <c r="I924" s="4">
        <v>0</v>
      </c>
    </row>
    <row r="925" spans="1:9" x14ac:dyDescent="0.2">
      <c r="A925" s="2">
        <v>5</v>
      </c>
      <c r="B925" s="1" t="s">
        <v>75</v>
      </c>
      <c r="C925" s="4">
        <v>37</v>
      </c>
      <c r="D925" s="8">
        <v>5.85</v>
      </c>
      <c r="E925" s="4">
        <v>14</v>
      </c>
      <c r="F925" s="8">
        <v>5.0199999999999996</v>
      </c>
      <c r="G925" s="4">
        <v>23</v>
      </c>
      <c r="H925" s="8">
        <v>6.69</v>
      </c>
      <c r="I925" s="4">
        <v>0</v>
      </c>
    </row>
    <row r="926" spans="1:9" x14ac:dyDescent="0.2">
      <c r="A926" s="2">
        <v>6</v>
      </c>
      <c r="B926" s="1" t="s">
        <v>85</v>
      </c>
      <c r="C926" s="4">
        <v>31</v>
      </c>
      <c r="D926" s="8">
        <v>4.91</v>
      </c>
      <c r="E926" s="4">
        <v>9</v>
      </c>
      <c r="F926" s="8">
        <v>3.23</v>
      </c>
      <c r="G926" s="4">
        <v>22</v>
      </c>
      <c r="H926" s="8">
        <v>6.4</v>
      </c>
      <c r="I926" s="4">
        <v>0</v>
      </c>
    </row>
    <row r="927" spans="1:9" x14ac:dyDescent="0.2">
      <c r="A927" s="2">
        <v>7</v>
      </c>
      <c r="B927" s="1" t="s">
        <v>83</v>
      </c>
      <c r="C927" s="4">
        <v>28</v>
      </c>
      <c r="D927" s="8">
        <v>4.43</v>
      </c>
      <c r="E927" s="4">
        <v>17</v>
      </c>
      <c r="F927" s="8">
        <v>6.09</v>
      </c>
      <c r="G927" s="4">
        <v>11</v>
      </c>
      <c r="H927" s="8">
        <v>3.2</v>
      </c>
      <c r="I927" s="4">
        <v>0</v>
      </c>
    </row>
    <row r="928" spans="1:9" x14ac:dyDescent="0.2">
      <c r="A928" s="2">
        <v>8</v>
      </c>
      <c r="B928" s="1" t="s">
        <v>76</v>
      </c>
      <c r="C928" s="4">
        <v>23</v>
      </c>
      <c r="D928" s="8">
        <v>3.64</v>
      </c>
      <c r="E928" s="4">
        <v>6</v>
      </c>
      <c r="F928" s="8">
        <v>2.15</v>
      </c>
      <c r="G928" s="4">
        <v>17</v>
      </c>
      <c r="H928" s="8">
        <v>4.9400000000000004</v>
      </c>
      <c r="I928" s="4">
        <v>0</v>
      </c>
    </row>
    <row r="929" spans="1:9" x14ac:dyDescent="0.2">
      <c r="A929" s="2">
        <v>9</v>
      </c>
      <c r="B929" s="1" t="s">
        <v>82</v>
      </c>
      <c r="C929" s="4">
        <v>22</v>
      </c>
      <c r="D929" s="8">
        <v>3.48</v>
      </c>
      <c r="E929" s="4">
        <v>14</v>
      </c>
      <c r="F929" s="8">
        <v>5.0199999999999996</v>
      </c>
      <c r="G929" s="4">
        <v>8</v>
      </c>
      <c r="H929" s="8">
        <v>2.33</v>
      </c>
      <c r="I929" s="4">
        <v>0</v>
      </c>
    </row>
    <row r="930" spans="1:9" x14ac:dyDescent="0.2">
      <c r="A930" s="2">
        <v>9</v>
      </c>
      <c r="B930" s="1" t="s">
        <v>91</v>
      </c>
      <c r="C930" s="4">
        <v>22</v>
      </c>
      <c r="D930" s="8">
        <v>3.48</v>
      </c>
      <c r="E930" s="4">
        <v>16</v>
      </c>
      <c r="F930" s="8">
        <v>5.73</v>
      </c>
      <c r="G930" s="4">
        <v>4</v>
      </c>
      <c r="H930" s="8">
        <v>1.1599999999999999</v>
      </c>
      <c r="I930" s="4">
        <v>0</v>
      </c>
    </row>
    <row r="931" spans="1:9" x14ac:dyDescent="0.2">
      <c r="A931" s="2">
        <v>11</v>
      </c>
      <c r="B931" s="1" t="s">
        <v>81</v>
      </c>
      <c r="C931" s="4">
        <v>19</v>
      </c>
      <c r="D931" s="8">
        <v>3.01</v>
      </c>
      <c r="E931" s="4">
        <v>15</v>
      </c>
      <c r="F931" s="8">
        <v>5.38</v>
      </c>
      <c r="G931" s="4">
        <v>4</v>
      </c>
      <c r="H931" s="8">
        <v>1.1599999999999999</v>
      </c>
      <c r="I931" s="4">
        <v>0</v>
      </c>
    </row>
    <row r="932" spans="1:9" x14ac:dyDescent="0.2">
      <c r="A932" s="2">
        <v>11</v>
      </c>
      <c r="B932" s="1" t="s">
        <v>104</v>
      </c>
      <c r="C932" s="4">
        <v>19</v>
      </c>
      <c r="D932" s="8">
        <v>3.01</v>
      </c>
      <c r="E932" s="4">
        <v>14</v>
      </c>
      <c r="F932" s="8">
        <v>5.0199999999999996</v>
      </c>
      <c r="G932" s="4">
        <v>5</v>
      </c>
      <c r="H932" s="8">
        <v>1.45</v>
      </c>
      <c r="I932" s="4">
        <v>0</v>
      </c>
    </row>
    <row r="933" spans="1:9" x14ac:dyDescent="0.2">
      <c r="A933" s="2">
        <v>13</v>
      </c>
      <c r="B933" s="1" t="s">
        <v>100</v>
      </c>
      <c r="C933" s="4">
        <v>18</v>
      </c>
      <c r="D933" s="8">
        <v>2.85</v>
      </c>
      <c r="E933" s="4">
        <v>3</v>
      </c>
      <c r="F933" s="8">
        <v>1.08</v>
      </c>
      <c r="G933" s="4">
        <v>15</v>
      </c>
      <c r="H933" s="8">
        <v>4.3600000000000003</v>
      </c>
      <c r="I933" s="4">
        <v>0</v>
      </c>
    </row>
    <row r="934" spans="1:9" x14ac:dyDescent="0.2">
      <c r="A934" s="2">
        <v>14</v>
      </c>
      <c r="B934" s="1" t="s">
        <v>87</v>
      </c>
      <c r="C934" s="4">
        <v>16</v>
      </c>
      <c r="D934" s="8">
        <v>2.5299999999999998</v>
      </c>
      <c r="E934" s="4">
        <v>7</v>
      </c>
      <c r="F934" s="8">
        <v>2.5099999999999998</v>
      </c>
      <c r="G934" s="4">
        <v>9</v>
      </c>
      <c r="H934" s="8">
        <v>2.62</v>
      </c>
      <c r="I934" s="4">
        <v>0</v>
      </c>
    </row>
    <row r="935" spans="1:9" x14ac:dyDescent="0.2">
      <c r="A935" s="2">
        <v>15</v>
      </c>
      <c r="B935" s="1" t="s">
        <v>86</v>
      </c>
      <c r="C935" s="4">
        <v>15</v>
      </c>
      <c r="D935" s="8">
        <v>2.37</v>
      </c>
      <c r="E935" s="4">
        <v>10</v>
      </c>
      <c r="F935" s="8">
        <v>3.58</v>
      </c>
      <c r="G935" s="4">
        <v>5</v>
      </c>
      <c r="H935" s="8">
        <v>1.45</v>
      </c>
      <c r="I935" s="4">
        <v>0</v>
      </c>
    </row>
    <row r="936" spans="1:9" x14ac:dyDescent="0.2">
      <c r="A936" s="2">
        <v>15</v>
      </c>
      <c r="B936" s="1" t="s">
        <v>92</v>
      </c>
      <c r="C936" s="4">
        <v>15</v>
      </c>
      <c r="D936" s="8">
        <v>2.37</v>
      </c>
      <c r="E936" s="4">
        <v>13</v>
      </c>
      <c r="F936" s="8">
        <v>4.66</v>
      </c>
      <c r="G936" s="4">
        <v>2</v>
      </c>
      <c r="H936" s="8">
        <v>0.57999999999999996</v>
      </c>
      <c r="I936" s="4">
        <v>0</v>
      </c>
    </row>
    <row r="937" spans="1:9" x14ac:dyDescent="0.2">
      <c r="A937" s="2">
        <v>17</v>
      </c>
      <c r="B937" s="1" t="s">
        <v>97</v>
      </c>
      <c r="C937" s="4">
        <v>11</v>
      </c>
      <c r="D937" s="8">
        <v>1.74</v>
      </c>
      <c r="E937" s="4">
        <v>1</v>
      </c>
      <c r="F937" s="8">
        <v>0.36</v>
      </c>
      <c r="G937" s="4">
        <v>10</v>
      </c>
      <c r="H937" s="8">
        <v>2.91</v>
      </c>
      <c r="I937" s="4">
        <v>0</v>
      </c>
    </row>
    <row r="938" spans="1:9" x14ac:dyDescent="0.2">
      <c r="A938" s="2">
        <v>18</v>
      </c>
      <c r="B938" s="1" t="s">
        <v>119</v>
      </c>
      <c r="C938" s="4">
        <v>10</v>
      </c>
      <c r="D938" s="8">
        <v>1.58</v>
      </c>
      <c r="E938" s="4">
        <v>1</v>
      </c>
      <c r="F938" s="8">
        <v>0.36</v>
      </c>
      <c r="G938" s="4">
        <v>9</v>
      </c>
      <c r="H938" s="8">
        <v>2.62</v>
      </c>
      <c r="I938" s="4">
        <v>0</v>
      </c>
    </row>
    <row r="939" spans="1:9" x14ac:dyDescent="0.2">
      <c r="A939" s="2">
        <v>18</v>
      </c>
      <c r="B939" s="1" t="s">
        <v>93</v>
      </c>
      <c r="C939" s="4">
        <v>10</v>
      </c>
      <c r="D939" s="8">
        <v>1.58</v>
      </c>
      <c r="E939" s="4">
        <v>0</v>
      </c>
      <c r="F939" s="8">
        <v>0</v>
      </c>
      <c r="G939" s="4">
        <v>6</v>
      </c>
      <c r="H939" s="8">
        <v>1.74</v>
      </c>
      <c r="I939" s="4">
        <v>0</v>
      </c>
    </row>
    <row r="940" spans="1:9" x14ac:dyDescent="0.2">
      <c r="A940" s="2">
        <v>20</v>
      </c>
      <c r="B940" s="1" t="s">
        <v>114</v>
      </c>
      <c r="C940" s="4">
        <v>9</v>
      </c>
      <c r="D940" s="8">
        <v>1.42</v>
      </c>
      <c r="E940" s="4">
        <v>4</v>
      </c>
      <c r="F940" s="8">
        <v>1.43</v>
      </c>
      <c r="G940" s="4">
        <v>5</v>
      </c>
      <c r="H940" s="8">
        <v>1.45</v>
      </c>
      <c r="I940" s="4">
        <v>0</v>
      </c>
    </row>
    <row r="941" spans="1:9" x14ac:dyDescent="0.2">
      <c r="A941" s="2">
        <v>20</v>
      </c>
      <c r="B941" s="1" t="s">
        <v>115</v>
      </c>
      <c r="C941" s="4">
        <v>9</v>
      </c>
      <c r="D941" s="8">
        <v>1.42</v>
      </c>
      <c r="E941" s="4">
        <v>1</v>
      </c>
      <c r="F941" s="8">
        <v>0.36</v>
      </c>
      <c r="G941" s="4">
        <v>8</v>
      </c>
      <c r="H941" s="8">
        <v>2.33</v>
      </c>
      <c r="I941" s="4">
        <v>0</v>
      </c>
    </row>
    <row r="942" spans="1:9" x14ac:dyDescent="0.2">
      <c r="A942" s="2">
        <v>20</v>
      </c>
      <c r="B942" s="1" t="s">
        <v>78</v>
      </c>
      <c r="C942" s="4">
        <v>9</v>
      </c>
      <c r="D942" s="8">
        <v>1.42</v>
      </c>
      <c r="E942" s="4">
        <v>1</v>
      </c>
      <c r="F942" s="8">
        <v>0.36</v>
      </c>
      <c r="G942" s="4">
        <v>8</v>
      </c>
      <c r="H942" s="8">
        <v>2.33</v>
      </c>
      <c r="I942" s="4">
        <v>0</v>
      </c>
    </row>
    <row r="943" spans="1:9" x14ac:dyDescent="0.2">
      <c r="A943" s="1"/>
      <c r="C943" s="4"/>
      <c r="D943" s="8"/>
      <c r="E943" s="4"/>
      <c r="F943" s="8"/>
      <c r="G943" s="4"/>
      <c r="H943" s="8"/>
      <c r="I943" s="4"/>
    </row>
    <row r="944" spans="1:9" x14ac:dyDescent="0.2">
      <c r="A944" s="1" t="s">
        <v>42</v>
      </c>
      <c r="C944" s="4"/>
      <c r="D944" s="8"/>
      <c r="E944" s="4"/>
      <c r="F944" s="8"/>
      <c r="G944" s="4"/>
      <c r="H944" s="8"/>
      <c r="I944" s="4"/>
    </row>
    <row r="945" spans="1:9" x14ac:dyDescent="0.2">
      <c r="A945" s="2">
        <v>1</v>
      </c>
      <c r="B945" s="1" t="s">
        <v>89</v>
      </c>
      <c r="C945" s="4">
        <v>76</v>
      </c>
      <c r="D945" s="8">
        <v>13.64</v>
      </c>
      <c r="E945" s="4">
        <v>67</v>
      </c>
      <c r="F945" s="8">
        <v>21.34</v>
      </c>
      <c r="G945" s="4">
        <v>9</v>
      </c>
      <c r="H945" s="8">
        <v>3.77</v>
      </c>
      <c r="I945" s="4">
        <v>0</v>
      </c>
    </row>
    <row r="946" spans="1:9" x14ac:dyDescent="0.2">
      <c r="A946" s="2">
        <v>2</v>
      </c>
      <c r="B946" s="1" t="s">
        <v>88</v>
      </c>
      <c r="C946" s="4">
        <v>65</v>
      </c>
      <c r="D946" s="8">
        <v>11.67</v>
      </c>
      <c r="E946" s="4">
        <v>63</v>
      </c>
      <c r="F946" s="8">
        <v>20.059999999999999</v>
      </c>
      <c r="G946" s="4">
        <v>2</v>
      </c>
      <c r="H946" s="8">
        <v>0.84</v>
      </c>
      <c r="I946" s="4">
        <v>0</v>
      </c>
    </row>
    <row r="947" spans="1:9" x14ac:dyDescent="0.2">
      <c r="A947" s="2">
        <v>3</v>
      </c>
      <c r="B947" s="1" t="s">
        <v>74</v>
      </c>
      <c r="C947" s="4">
        <v>37</v>
      </c>
      <c r="D947" s="8">
        <v>6.64</v>
      </c>
      <c r="E947" s="4">
        <v>4</v>
      </c>
      <c r="F947" s="8">
        <v>1.27</v>
      </c>
      <c r="G947" s="4">
        <v>33</v>
      </c>
      <c r="H947" s="8">
        <v>13.81</v>
      </c>
      <c r="I947" s="4">
        <v>0</v>
      </c>
    </row>
    <row r="948" spans="1:9" x14ac:dyDescent="0.2">
      <c r="A948" s="2">
        <v>4</v>
      </c>
      <c r="B948" s="1" t="s">
        <v>91</v>
      </c>
      <c r="C948" s="4">
        <v>35</v>
      </c>
      <c r="D948" s="8">
        <v>6.28</v>
      </c>
      <c r="E948" s="4">
        <v>28</v>
      </c>
      <c r="F948" s="8">
        <v>8.92</v>
      </c>
      <c r="G948" s="4">
        <v>7</v>
      </c>
      <c r="H948" s="8">
        <v>2.93</v>
      </c>
      <c r="I948" s="4">
        <v>0</v>
      </c>
    </row>
    <row r="949" spans="1:9" x14ac:dyDescent="0.2">
      <c r="A949" s="2">
        <v>5</v>
      </c>
      <c r="B949" s="1" t="s">
        <v>83</v>
      </c>
      <c r="C949" s="4">
        <v>26</v>
      </c>
      <c r="D949" s="8">
        <v>4.67</v>
      </c>
      <c r="E949" s="4">
        <v>15</v>
      </c>
      <c r="F949" s="8">
        <v>4.78</v>
      </c>
      <c r="G949" s="4">
        <v>11</v>
      </c>
      <c r="H949" s="8">
        <v>4.5999999999999996</v>
      </c>
      <c r="I949" s="4">
        <v>0</v>
      </c>
    </row>
    <row r="950" spans="1:9" x14ac:dyDescent="0.2">
      <c r="A950" s="2">
        <v>5</v>
      </c>
      <c r="B950" s="1" t="s">
        <v>85</v>
      </c>
      <c r="C950" s="4">
        <v>26</v>
      </c>
      <c r="D950" s="8">
        <v>4.67</v>
      </c>
      <c r="E950" s="4">
        <v>7</v>
      </c>
      <c r="F950" s="8">
        <v>2.23</v>
      </c>
      <c r="G950" s="4">
        <v>19</v>
      </c>
      <c r="H950" s="8">
        <v>7.95</v>
      </c>
      <c r="I950" s="4">
        <v>0</v>
      </c>
    </row>
    <row r="951" spans="1:9" x14ac:dyDescent="0.2">
      <c r="A951" s="2">
        <v>7</v>
      </c>
      <c r="B951" s="1" t="s">
        <v>76</v>
      </c>
      <c r="C951" s="4">
        <v>24</v>
      </c>
      <c r="D951" s="8">
        <v>4.3099999999999996</v>
      </c>
      <c r="E951" s="4">
        <v>4</v>
      </c>
      <c r="F951" s="8">
        <v>1.27</v>
      </c>
      <c r="G951" s="4">
        <v>20</v>
      </c>
      <c r="H951" s="8">
        <v>8.3699999999999992</v>
      </c>
      <c r="I951" s="4">
        <v>0</v>
      </c>
    </row>
    <row r="952" spans="1:9" x14ac:dyDescent="0.2">
      <c r="A952" s="2">
        <v>8</v>
      </c>
      <c r="B952" s="1" t="s">
        <v>75</v>
      </c>
      <c r="C952" s="4">
        <v>22</v>
      </c>
      <c r="D952" s="8">
        <v>3.95</v>
      </c>
      <c r="E952" s="4">
        <v>12</v>
      </c>
      <c r="F952" s="8">
        <v>3.82</v>
      </c>
      <c r="G952" s="4">
        <v>10</v>
      </c>
      <c r="H952" s="8">
        <v>4.18</v>
      </c>
      <c r="I952" s="4">
        <v>0</v>
      </c>
    </row>
    <row r="953" spans="1:9" x14ac:dyDescent="0.2">
      <c r="A953" s="2">
        <v>9</v>
      </c>
      <c r="B953" s="1" t="s">
        <v>82</v>
      </c>
      <c r="C953" s="4">
        <v>20</v>
      </c>
      <c r="D953" s="8">
        <v>3.59</v>
      </c>
      <c r="E953" s="4">
        <v>10</v>
      </c>
      <c r="F953" s="8">
        <v>3.18</v>
      </c>
      <c r="G953" s="4">
        <v>10</v>
      </c>
      <c r="H953" s="8">
        <v>4.18</v>
      </c>
      <c r="I953" s="4">
        <v>0</v>
      </c>
    </row>
    <row r="954" spans="1:9" x14ac:dyDescent="0.2">
      <c r="A954" s="2">
        <v>9</v>
      </c>
      <c r="B954" s="1" t="s">
        <v>92</v>
      </c>
      <c r="C954" s="4">
        <v>20</v>
      </c>
      <c r="D954" s="8">
        <v>3.59</v>
      </c>
      <c r="E954" s="4">
        <v>18</v>
      </c>
      <c r="F954" s="8">
        <v>5.73</v>
      </c>
      <c r="G954" s="4">
        <v>2</v>
      </c>
      <c r="H954" s="8">
        <v>0.84</v>
      </c>
      <c r="I954" s="4">
        <v>0</v>
      </c>
    </row>
    <row r="955" spans="1:9" x14ac:dyDescent="0.2">
      <c r="A955" s="2">
        <v>11</v>
      </c>
      <c r="B955" s="1" t="s">
        <v>84</v>
      </c>
      <c r="C955" s="4">
        <v>18</v>
      </c>
      <c r="D955" s="8">
        <v>3.23</v>
      </c>
      <c r="E955" s="4">
        <v>6</v>
      </c>
      <c r="F955" s="8">
        <v>1.91</v>
      </c>
      <c r="G955" s="4">
        <v>12</v>
      </c>
      <c r="H955" s="8">
        <v>5.0199999999999996</v>
      </c>
      <c r="I955" s="4">
        <v>0</v>
      </c>
    </row>
    <row r="956" spans="1:9" x14ac:dyDescent="0.2">
      <c r="A956" s="2">
        <v>11</v>
      </c>
      <c r="B956" s="1" t="s">
        <v>86</v>
      </c>
      <c r="C956" s="4">
        <v>18</v>
      </c>
      <c r="D956" s="8">
        <v>3.23</v>
      </c>
      <c r="E956" s="4">
        <v>12</v>
      </c>
      <c r="F956" s="8">
        <v>3.82</v>
      </c>
      <c r="G956" s="4">
        <v>6</v>
      </c>
      <c r="H956" s="8">
        <v>2.5099999999999998</v>
      </c>
      <c r="I956" s="4">
        <v>0</v>
      </c>
    </row>
    <row r="957" spans="1:9" x14ac:dyDescent="0.2">
      <c r="A957" s="2">
        <v>13</v>
      </c>
      <c r="B957" s="1" t="s">
        <v>81</v>
      </c>
      <c r="C957" s="4">
        <v>16</v>
      </c>
      <c r="D957" s="8">
        <v>2.87</v>
      </c>
      <c r="E957" s="4">
        <v>14</v>
      </c>
      <c r="F957" s="8">
        <v>4.46</v>
      </c>
      <c r="G957" s="4">
        <v>2</v>
      </c>
      <c r="H957" s="8">
        <v>0.84</v>
      </c>
      <c r="I957" s="4">
        <v>0</v>
      </c>
    </row>
    <row r="958" spans="1:9" x14ac:dyDescent="0.2">
      <c r="A958" s="2">
        <v>13</v>
      </c>
      <c r="B958" s="1" t="s">
        <v>90</v>
      </c>
      <c r="C958" s="4">
        <v>16</v>
      </c>
      <c r="D958" s="8">
        <v>2.87</v>
      </c>
      <c r="E958" s="4">
        <v>11</v>
      </c>
      <c r="F958" s="8">
        <v>3.5</v>
      </c>
      <c r="G958" s="4">
        <v>4</v>
      </c>
      <c r="H958" s="8">
        <v>1.67</v>
      </c>
      <c r="I958" s="4">
        <v>1</v>
      </c>
    </row>
    <row r="959" spans="1:9" x14ac:dyDescent="0.2">
      <c r="A959" s="2">
        <v>15</v>
      </c>
      <c r="B959" s="1" t="s">
        <v>93</v>
      </c>
      <c r="C959" s="4">
        <v>13</v>
      </c>
      <c r="D959" s="8">
        <v>2.33</v>
      </c>
      <c r="E959" s="4">
        <v>0</v>
      </c>
      <c r="F959" s="8">
        <v>0</v>
      </c>
      <c r="G959" s="4">
        <v>11</v>
      </c>
      <c r="H959" s="8">
        <v>4.5999999999999996</v>
      </c>
      <c r="I959" s="4">
        <v>0</v>
      </c>
    </row>
    <row r="960" spans="1:9" x14ac:dyDescent="0.2">
      <c r="A960" s="2">
        <v>16</v>
      </c>
      <c r="B960" s="1" t="s">
        <v>77</v>
      </c>
      <c r="C960" s="4">
        <v>10</v>
      </c>
      <c r="D960" s="8">
        <v>1.8</v>
      </c>
      <c r="E960" s="4">
        <v>3</v>
      </c>
      <c r="F960" s="8">
        <v>0.96</v>
      </c>
      <c r="G960" s="4">
        <v>7</v>
      </c>
      <c r="H960" s="8">
        <v>2.93</v>
      </c>
      <c r="I960" s="4">
        <v>0</v>
      </c>
    </row>
    <row r="961" spans="1:9" x14ac:dyDescent="0.2">
      <c r="A961" s="2">
        <v>17</v>
      </c>
      <c r="B961" s="1" t="s">
        <v>97</v>
      </c>
      <c r="C961" s="4">
        <v>9</v>
      </c>
      <c r="D961" s="8">
        <v>1.62</v>
      </c>
      <c r="E961" s="4">
        <v>4</v>
      </c>
      <c r="F961" s="8">
        <v>1.27</v>
      </c>
      <c r="G961" s="4">
        <v>5</v>
      </c>
      <c r="H961" s="8">
        <v>2.09</v>
      </c>
      <c r="I961" s="4">
        <v>0</v>
      </c>
    </row>
    <row r="962" spans="1:9" x14ac:dyDescent="0.2">
      <c r="A962" s="2">
        <v>18</v>
      </c>
      <c r="B962" s="1" t="s">
        <v>100</v>
      </c>
      <c r="C962" s="4">
        <v>8</v>
      </c>
      <c r="D962" s="8">
        <v>1.44</v>
      </c>
      <c r="E962" s="4">
        <v>1</v>
      </c>
      <c r="F962" s="8">
        <v>0.32</v>
      </c>
      <c r="G962" s="4">
        <v>7</v>
      </c>
      <c r="H962" s="8">
        <v>2.93</v>
      </c>
      <c r="I962" s="4">
        <v>0</v>
      </c>
    </row>
    <row r="963" spans="1:9" x14ac:dyDescent="0.2">
      <c r="A963" s="2">
        <v>19</v>
      </c>
      <c r="B963" s="1" t="s">
        <v>115</v>
      </c>
      <c r="C963" s="4">
        <v>7</v>
      </c>
      <c r="D963" s="8">
        <v>1.26</v>
      </c>
      <c r="E963" s="4">
        <v>0</v>
      </c>
      <c r="F963" s="8">
        <v>0</v>
      </c>
      <c r="G963" s="4">
        <v>7</v>
      </c>
      <c r="H963" s="8">
        <v>2.93</v>
      </c>
      <c r="I963" s="4">
        <v>0</v>
      </c>
    </row>
    <row r="964" spans="1:9" x14ac:dyDescent="0.2">
      <c r="A964" s="2">
        <v>19</v>
      </c>
      <c r="B964" s="1" t="s">
        <v>79</v>
      </c>
      <c r="C964" s="4">
        <v>7</v>
      </c>
      <c r="D964" s="8">
        <v>1.26</v>
      </c>
      <c r="E964" s="4">
        <v>2</v>
      </c>
      <c r="F964" s="8">
        <v>0.64</v>
      </c>
      <c r="G964" s="4">
        <v>5</v>
      </c>
      <c r="H964" s="8">
        <v>2.09</v>
      </c>
      <c r="I964" s="4">
        <v>0</v>
      </c>
    </row>
    <row r="965" spans="1:9" x14ac:dyDescent="0.2">
      <c r="A965" s="1"/>
      <c r="C965" s="4"/>
      <c r="D965" s="8"/>
      <c r="E965" s="4"/>
      <c r="F965" s="8"/>
      <c r="G965" s="4"/>
      <c r="H965" s="8"/>
      <c r="I965" s="4"/>
    </row>
    <row r="966" spans="1:9" x14ac:dyDescent="0.2">
      <c r="A966" s="1" t="s">
        <v>43</v>
      </c>
      <c r="C966" s="4"/>
      <c r="D966" s="8"/>
      <c r="E966" s="4"/>
      <c r="F966" s="8"/>
      <c r="G966" s="4"/>
      <c r="H966" s="8"/>
      <c r="I966" s="4"/>
    </row>
    <row r="967" spans="1:9" x14ac:dyDescent="0.2">
      <c r="A967" s="2">
        <v>1</v>
      </c>
      <c r="B967" s="1" t="s">
        <v>74</v>
      </c>
      <c r="C967" s="4">
        <v>38</v>
      </c>
      <c r="D967" s="8">
        <v>12.71</v>
      </c>
      <c r="E967" s="4">
        <v>22</v>
      </c>
      <c r="F967" s="8">
        <v>10.19</v>
      </c>
      <c r="G967" s="4">
        <v>16</v>
      </c>
      <c r="H967" s="8">
        <v>20.51</v>
      </c>
      <c r="I967" s="4">
        <v>0</v>
      </c>
    </row>
    <row r="968" spans="1:9" x14ac:dyDescent="0.2">
      <c r="A968" s="2">
        <v>2</v>
      </c>
      <c r="B968" s="1" t="s">
        <v>89</v>
      </c>
      <c r="C968" s="4">
        <v>24</v>
      </c>
      <c r="D968" s="8">
        <v>8.0299999999999994</v>
      </c>
      <c r="E968" s="4">
        <v>20</v>
      </c>
      <c r="F968" s="8">
        <v>9.26</v>
      </c>
      <c r="G968" s="4">
        <v>4</v>
      </c>
      <c r="H968" s="8">
        <v>5.13</v>
      </c>
      <c r="I968" s="4">
        <v>0</v>
      </c>
    </row>
    <row r="969" spans="1:9" x14ac:dyDescent="0.2">
      <c r="A969" s="2">
        <v>3</v>
      </c>
      <c r="B969" s="1" t="s">
        <v>83</v>
      </c>
      <c r="C969" s="4">
        <v>21</v>
      </c>
      <c r="D969" s="8">
        <v>7.02</v>
      </c>
      <c r="E969" s="4">
        <v>15</v>
      </c>
      <c r="F969" s="8">
        <v>6.94</v>
      </c>
      <c r="G969" s="4">
        <v>6</v>
      </c>
      <c r="H969" s="8">
        <v>7.69</v>
      </c>
      <c r="I969" s="4">
        <v>0</v>
      </c>
    </row>
    <row r="970" spans="1:9" x14ac:dyDescent="0.2">
      <c r="A970" s="2">
        <v>4</v>
      </c>
      <c r="B970" s="1" t="s">
        <v>75</v>
      </c>
      <c r="C970" s="4">
        <v>19</v>
      </c>
      <c r="D970" s="8">
        <v>6.35</v>
      </c>
      <c r="E970" s="4">
        <v>18</v>
      </c>
      <c r="F970" s="8">
        <v>8.33</v>
      </c>
      <c r="G970" s="4">
        <v>1</v>
      </c>
      <c r="H970" s="8">
        <v>1.28</v>
      </c>
      <c r="I970" s="4">
        <v>0</v>
      </c>
    </row>
    <row r="971" spans="1:9" x14ac:dyDescent="0.2">
      <c r="A971" s="2">
        <v>5</v>
      </c>
      <c r="B971" s="1" t="s">
        <v>88</v>
      </c>
      <c r="C971" s="4">
        <v>16</v>
      </c>
      <c r="D971" s="8">
        <v>5.35</v>
      </c>
      <c r="E971" s="4">
        <v>15</v>
      </c>
      <c r="F971" s="8">
        <v>6.94</v>
      </c>
      <c r="G971" s="4">
        <v>1</v>
      </c>
      <c r="H971" s="8">
        <v>1.28</v>
      </c>
      <c r="I971" s="4">
        <v>0</v>
      </c>
    </row>
    <row r="972" spans="1:9" x14ac:dyDescent="0.2">
      <c r="A972" s="2">
        <v>6</v>
      </c>
      <c r="B972" s="1" t="s">
        <v>111</v>
      </c>
      <c r="C972" s="4">
        <v>12</v>
      </c>
      <c r="D972" s="8">
        <v>4.01</v>
      </c>
      <c r="E972" s="4">
        <v>9</v>
      </c>
      <c r="F972" s="8">
        <v>4.17</v>
      </c>
      <c r="G972" s="4">
        <v>3</v>
      </c>
      <c r="H972" s="8">
        <v>3.85</v>
      </c>
      <c r="I972" s="4">
        <v>0</v>
      </c>
    </row>
    <row r="973" spans="1:9" x14ac:dyDescent="0.2">
      <c r="A973" s="2">
        <v>7</v>
      </c>
      <c r="B973" s="1" t="s">
        <v>76</v>
      </c>
      <c r="C973" s="4">
        <v>11</v>
      </c>
      <c r="D973" s="8">
        <v>3.68</v>
      </c>
      <c r="E973" s="4">
        <v>10</v>
      </c>
      <c r="F973" s="8">
        <v>4.63</v>
      </c>
      <c r="G973" s="4">
        <v>1</v>
      </c>
      <c r="H973" s="8">
        <v>1.28</v>
      </c>
      <c r="I973" s="4">
        <v>0</v>
      </c>
    </row>
    <row r="974" spans="1:9" x14ac:dyDescent="0.2">
      <c r="A974" s="2">
        <v>7</v>
      </c>
      <c r="B974" s="1" t="s">
        <v>81</v>
      </c>
      <c r="C974" s="4">
        <v>11</v>
      </c>
      <c r="D974" s="8">
        <v>3.68</v>
      </c>
      <c r="E974" s="4">
        <v>11</v>
      </c>
      <c r="F974" s="8">
        <v>5.09</v>
      </c>
      <c r="G974" s="4">
        <v>0</v>
      </c>
      <c r="H974" s="8">
        <v>0</v>
      </c>
      <c r="I974" s="4">
        <v>0</v>
      </c>
    </row>
    <row r="975" spans="1:9" x14ac:dyDescent="0.2">
      <c r="A975" s="2">
        <v>9</v>
      </c>
      <c r="B975" s="1" t="s">
        <v>91</v>
      </c>
      <c r="C975" s="4">
        <v>10</v>
      </c>
      <c r="D975" s="8">
        <v>3.34</v>
      </c>
      <c r="E975" s="4">
        <v>9</v>
      </c>
      <c r="F975" s="8">
        <v>4.17</v>
      </c>
      <c r="G975" s="4">
        <v>0</v>
      </c>
      <c r="H975" s="8">
        <v>0</v>
      </c>
      <c r="I975" s="4">
        <v>0</v>
      </c>
    </row>
    <row r="976" spans="1:9" x14ac:dyDescent="0.2">
      <c r="A976" s="2">
        <v>10</v>
      </c>
      <c r="B976" s="1" t="s">
        <v>77</v>
      </c>
      <c r="C976" s="4">
        <v>9</v>
      </c>
      <c r="D976" s="8">
        <v>3.01</v>
      </c>
      <c r="E976" s="4">
        <v>6</v>
      </c>
      <c r="F976" s="8">
        <v>2.78</v>
      </c>
      <c r="G976" s="4">
        <v>3</v>
      </c>
      <c r="H976" s="8">
        <v>3.85</v>
      </c>
      <c r="I976" s="4">
        <v>0</v>
      </c>
    </row>
    <row r="977" spans="1:9" x14ac:dyDescent="0.2">
      <c r="A977" s="2">
        <v>10</v>
      </c>
      <c r="B977" s="1" t="s">
        <v>115</v>
      </c>
      <c r="C977" s="4">
        <v>9</v>
      </c>
      <c r="D977" s="8">
        <v>3.01</v>
      </c>
      <c r="E977" s="4">
        <v>6</v>
      </c>
      <c r="F977" s="8">
        <v>2.78</v>
      </c>
      <c r="G977" s="4">
        <v>3</v>
      </c>
      <c r="H977" s="8">
        <v>3.85</v>
      </c>
      <c r="I977" s="4">
        <v>0</v>
      </c>
    </row>
    <row r="978" spans="1:9" x14ac:dyDescent="0.2">
      <c r="A978" s="2">
        <v>10</v>
      </c>
      <c r="B978" s="1" t="s">
        <v>82</v>
      </c>
      <c r="C978" s="4">
        <v>9</v>
      </c>
      <c r="D978" s="8">
        <v>3.01</v>
      </c>
      <c r="E978" s="4">
        <v>8</v>
      </c>
      <c r="F978" s="8">
        <v>3.7</v>
      </c>
      <c r="G978" s="4">
        <v>1</v>
      </c>
      <c r="H978" s="8">
        <v>1.28</v>
      </c>
      <c r="I978" s="4">
        <v>0</v>
      </c>
    </row>
    <row r="979" spans="1:9" x14ac:dyDescent="0.2">
      <c r="A979" s="2">
        <v>13</v>
      </c>
      <c r="B979" s="1" t="s">
        <v>87</v>
      </c>
      <c r="C979" s="4">
        <v>8</v>
      </c>
      <c r="D979" s="8">
        <v>2.68</v>
      </c>
      <c r="E979" s="4">
        <v>4</v>
      </c>
      <c r="F979" s="8">
        <v>1.85</v>
      </c>
      <c r="G979" s="4">
        <v>4</v>
      </c>
      <c r="H979" s="8">
        <v>5.13</v>
      </c>
      <c r="I979" s="4">
        <v>0</v>
      </c>
    </row>
    <row r="980" spans="1:9" x14ac:dyDescent="0.2">
      <c r="A980" s="2">
        <v>13</v>
      </c>
      <c r="B980" s="1" t="s">
        <v>92</v>
      </c>
      <c r="C980" s="4">
        <v>8</v>
      </c>
      <c r="D980" s="8">
        <v>2.68</v>
      </c>
      <c r="E980" s="4">
        <v>8</v>
      </c>
      <c r="F980" s="8">
        <v>3.7</v>
      </c>
      <c r="G980" s="4">
        <v>0</v>
      </c>
      <c r="H980" s="8">
        <v>0</v>
      </c>
      <c r="I980" s="4">
        <v>0</v>
      </c>
    </row>
    <row r="981" spans="1:9" x14ac:dyDescent="0.2">
      <c r="A981" s="2">
        <v>15</v>
      </c>
      <c r="B981" s="1" t="s">
        <v>80</v>
      </c>
      <c r="C981" s="4">
        <v>7</v>
      </c>
      <c r="D981" s="8">
        <v>2.34</v>
      </c>
      <c r="E981" s="4">
        <v>6</v>
      </c>
      <c r="F981" s="8">
        <v>2.78</v>
      </c>
      <c r="G981" s="4">
        <v>1</v>
      </c>
      <c r="H981" s="8">
        <v>1.28</v>
      </c>
      <c r="I981" s="4">
        <v>0</v>
      </c>
    </row>
    <row r="982" spans="1:9" x14ac:dyDescent="0.2">
      <c r="A982" s="2">
        <v>15</v>
      </c>
      <c r="B982" s="1" t="s">
        <v>104</v>
      </c>
      <c r="C982" s="4">
        <v>7</v>
      </c>
      <c r="D982" s="8">
        <v>2.34</v>
      </c>
      <c r="E982" s="4">
        <v>7</v>
      </c>
      <c r="F982" s="8">
        <v>3.24</v>
      </c>
      <c r="G982" s="4">
        <v>0</v>
      </c>
      <c r="H982" s="8">
        <v>0</v>
      </c>
      <c r="I982" s="4">
        <v>0</v>
      </c>
    </row>
    <row r="983" spans="1:9" x14ac:dyDescent="0.2">
      <c r="A983" s="2">
        <v>17</v>
      </c>
      <c r="B983" s="1" t="s">
        <v>113</v>
      </c>
      <c r="C983" s="4">
        <v>6</v>
      </c>
      <c r="D983" s="8">
        <v>2.0099999999999998</v>
      </c>
      <c r="E983" s="4">
        <v>2</v>
      </c>
      <c r="F983" s="8">
        <v>0.93</v>
      </c>
      <c r="G983" s="4">
        <v>4</v>
      </c>
      <c r="H983" s="8">
        <v>5.13</v>
      </c>
      <c r="I983" s="4">
        <v>0</v>
      </c>
    </row>
    <row r="984" spans="1:9" x14ac:dyDescent="0.2">
      <c r="A984" s="2">
        <v>17</v>
      </c>
      <c r="B984" s="1" t="s">
        <v>100</v>
      </c>
      <c r="C984" s="4">
        <v>6</v>
      </c>
      <c r="D984" s="8">
        <v>2.0099999999999998</v>
      </c>
      <c r="E984" s="4">
        <v>2</v>
      </c>
      <c r="F984" s="8">
        <v>0.93</v>
      </c>
      <c r="G984" s="4">
        <v>4</v>
      </c>
      <c r="H984" s="8">
        <v>5.13</v>
      </c>
      <c r="I984" s="4">
        <v>0</v>
      </c>
    </row>
    <row r="985" spans="1:9" x14ac:dyDescent="0.2">
      <c r="A985" s="2">
        <v>19</v>
      </c>
      <c r="B985" s="1" t="s">
        <v>117</v>
      </c>
      <c r="C985" s="4">
        <v>5</v>
      </c>
      <c r="D985" s="8">
        <v>1.67</v>
      </c>
      <c r="E985" s="4">
        <v>5</v>
      </c>
      <c r="F985" s="8">
        <v>2.31</v>
      </c>
      <c r="G985" s="4">
        <v>0</v>
      </c>
      <c r="H985" s="8">
        <v>0</v>
      </c>
      <c r="I985" s="4">
        <v>0</v>
      </c>
    </row>
    <row r="986" spans="1:9" x14ac:dyDescent="0.2">
      <c r="A986" s="2">
        <v>20</v>
      </c>
      <c r="B986" s="1" t="s">
        <v>112</v>
      </c>
      <c r="C986" s="4">
        <v>4</v>
      </c>
      <c r="D986" s="8">
        <v>1.34</v>
      </c>
      <c r="E986" s="4">
        <v>1</v>
      </c>
      <c r="F986" s="8">
        <v>0.46</v>
      </c>
      <c r="G986" s="4">
        <v>3</v>
      </c>
      <c r="H986" s="8">
        <v>3.85</v>
      </c>
      <c r="I986" s="4">
        <v>0</v>
      </c>
    </row>
    <row r="987" spans="1:9" x14ac:dyDescent="0.2">
      <c r="A987" s="2">
        <v>20</v>
      </c>
      <c r="B987" s="1" t="s">
        <v>85</v>
      </c>
      <c r="C987" s="4">
        <v>4</v>
      </c>
      <c r="D987" s="8">
        <v>1.34</v>
      </c>
      <c r="E987" s="4">
        <v>4</v>
      </c>
      <c r="F987" s="8">
        <v>1.85</v>
      </c>
      <c r="G987" s="4">
        <v>0</v>
      </c>
      <c r="H987" s="8">
        <v>0</v>
      </c>
      <c r="I987" s="4">
        <v>0</v>
      </c>
    </row>
    <row r="988" spans="1:9" x14ac:dyDescent="0.2">
      <c r="A988" s="2">
        <v>20</v>
      </c>
      <c r="B988" s="1" t="s">
        <v>86</v>
      </c>
      <c r="C988" s="4">
        <v>4</v>
      </c>
      <c r="D988" s="8">
        <v>1.34</v>
      </c>
      <c r="E988" s="4">
        <v>4</v>
      </c>
      <c r="F988" s="8">
        <v>1.85</v>
      </c>
      <c r="G988" s="4">
        <v>0</v>
      </c>
      <c r="H988" s="8">
        <v>0</v>
      </c>
      <c r="I988" s="4">
        <v>0</v>
      </c>
    </row>
    <row r="989" spans="1:9" x14ac:dyDescent="0.2">
      <c r="A989" s="1"/>
      <c r="C989" s="4"/>
      <c r="D989" s="8"/>
      <c r="E989" s="4"/>
      <c r="F989" s="8"/>
      <c r="G989" s="4"/>
      <c r="H989" s="8"/>
      <c r="I989" s="4"/>
    </row>
    <row r="990" spans="1:9" x14ac:dyDescent="0.2">
      <c r="A990" s="1" t="s">
        <v>44</v>
      </c>
      <c r="C990" s="4"/>
      <c r="D990" s="8"/>
      <c r="E990" s="4"/>
      <c r="F990" s="8"/>
      <c r="G990" s="4"/>
      <c r="H990" s="8"/>
      <c r="I990" s="4"/>
    </row>
    <row r="991" spans="1:9" x14ac:dyDescent="0.2">
      <c r="A991" s="2">
        <v>1</v>
      </c>
      <c r="B991" s="1" t="s">
        <v>89</v>
      </c>
      <c r="C991" s="4">
        <v>57</v>
      </c>
      <c r="D991" s="8">
        <v>11.18</v>
      </c>
      <c r="E991" s="4">
        <v>51</v>
      </c>
      <c r="F991" s="8">
        <v>17.350000000000001</v>
      </c>
      <c r="G991" s="4">
        <v>6</v>
      </c>
      <c r="H991" s="8">
        <v>2.91</v>
      </c>
      <c r="I991" s="4">
        <v>0</v>
      </c>
    </row>
    <row r="992" spans="1:9" x14ac:dyDescent="0.2">
      <c r="A992" s="2">
        <v>2</v>
      </c>
      <c r="B992" s="1" t="s">
        <v>74</v>
      </c>
      <c r="C992" s="4">
        <v>42</v>
      </c>
      <c r="D992" s="8">
        <v>8.24</v>
      </c>
      <c r="E992" s="4">
        <v>13</v>
      </c>
      <c r="F992" s="8">
        <v>4.42</v>
      </c>
      <c r="G992" s="4">
        <v>29</v>
      </c>
      <c r="H992" s="8">
        <v>14.08</v>
      </c>
      <c r="I992" s="4">
        <v>0</v>
      </c>
    </row>
    <row r="993" spans="1:9" x14ac:dyDescent="0.2">
      <c r="A993" s="2">
        <v>3</v>
      </c>
      <c r="B993" s="1" t="s">
        <v>83</v>
      </c>
      <c r="C993" s="4">
        <v>40</v>
      </c>
      <c r="D993" s="8">
        <v>7.84</v>
      </c>
      <c r="E993" s="4">
        <v>17</v>
      </c>
      <c r="F993" s="8">
        <v>5.78</v>
      </c>
      <c r="G993" s="4">
        <v>23</v>
      </c>
      <c r="H993" s="8">
        <v>11.17</v>
      </c>
      <c r="I993" s="4">
        <v>0</v>
      </c>
    </row>
    <row r="994" spans="1:9" x14ac:dyDescent="0.2">
      <c r="A994" s="2">
        <v>4</v>
      </c>
      <c r="B994" s="1" t="s">
        <v>88</v>
      </c>
      <c r="C994" s="4">
        <v>36</v>
      </c>
      <c r="D994" s="8">
        <v>7.06</v>
      </c>
      <c r="E994" s="4">
        <v>31</v>
      </c>
      <c r="F994" s="8">
        <v>10.54</v>
      </c>
      <c r="G994" s="4">
        <v>5</v>
      </c>
      <c r="H994" s="8">
        <v>2.4300000000000002</v>
      </c>
      <c r="I994" s="4">
        <v>0</v>
      </c>
    </row>
    <row r="995" spans="1:9" x14ac:dyDescent="0.2">
      <c r="A995" s="2">
        <v>5</v>
      </c>
      <c r="B995" s="1" t="s">
        <v>91</v>
      </c>
      <c r="C995" s="4">
        <v>35</v>
      </c>
      <c r="D995" s="8">
        <v>6.86</v>
      </c>
      <c r="E995" s="4">
        <v>21</v>
      </c>
      <c r="F995" s="8">
        <v>7.14</v>
      </c>
      <c r="G995" s="4">
        <v>8</v>
      </c>
      <c r="H995" s="8">
        <v>3.88</v>
      </c>
      <c r="I995" s="4">
        <v>0</v>
      </c>
    </row>
    <row r="996" spans="1:9" x14ac:dyDescent="0.2">
      <c r="A996" s="2">
        <v>6</v>
      </c>
      <c r="B996" s="1" t="s">
        <v>85</v>
      </c>
      <c r="C996" s="4">
        <v>30</v>
      </c>
      <c r="D996" s="8">
        <v>5.88</v>
      </c>
      <c r="E996" s="4">
        <v>18</v>
      </c>
      <c r="F996" s="8">
        <v>6.12</v>
      </c>
      <c r="G996" s="4">
        <v>12</v>
      </c>
      <c r="H996" s="8">
        <v>5.83</v>
      </c>
      <c r="I996" s="4">
        <v>0</v>
      </c>
    </row>
    <row r="997" spans="1:9" x14ac:dyDescent="0.2">
      <c r="A997" s="2">
        <v>7</v>
      </c>
      <c r="B997" s="1" t="s">
        <v>82</v>
      </c>
      <c r="C997" s="4">
        <v>17</v>
      </c>
      <c r="D997" s="8">
        <v>3.33</v>
      </c>
      <c r="E997" s="4">
        <v>15</v>
      </c>
      <c r="F997" s="8">
        <v>5.0999999999999996</v>
      </c>
      <c r="G997" s="4">
        <v>2</v>
      </c>
      <c r="H997" s="8">
        <v>0.97</v>
      </c>
      <c r="I997" s="4">
        <v>0</v>
      </c>
    </row>
    <row r="998" spans="1:9" x14ac:dyDescent="0.2">
      <c r="A998" s="2">
        <v>8</v>
      </c>
      <c r="B998" s="1" t="s">
        <v>75</v>
      </c>
      <c r="C998" s="4">
        <v>15</v>
      </c>
      <c r="D998" s="8">
        <v>2.94</v>
      </c>
      <c r="E998" s="4">
        <v>11</v>
      </c>
      <c r="F998" s="8">
        <v>3.74</v>
      </c>
      <c r="G998" s="4">
        <v>4</v>
      </c>
      <c r="H998" s="8">
        <v>1.94</v>
      </c>
      <c r="I998" s="4">
        <v>0</v>
      </c>
    </row>
    <row r="999" spans="1:9" x14ac:dyDescent="0.2">
      <c r="A999" s="2">
        <v>8</v>
      </c>
      <c r="B999" s="1" t="s">
        <v>77</v>
      </c>
      <c r="C999" s="4">
        <v>15</v>
      </c>
      <c r="D999" s="8">
        <v>2.94</v>
      </c>
      <c r="E999" s="4">
        <v>8</v>
      </c>
      <c r="F999" s="8">
        <v>2.72</v>
      </c>
      <c r="G999" s="4">
        <v>7</v>
      </c>
      <c r="H999" s="8">
        <v>3.4</v>
      </c>
      <c r="I999" s="4">
        <v>0</v>
      </c>
    </row>
    <row r="1000" spans="1:9" x14ac:dyDescent="0.2">
      <c r="A1000" s="2">
        <v>8</v>
      </c>
      <c r="B1000" s="1" t="s">
        <v>81</v>
      </c>
      <c r="C1000" s="4">
        <v>15</v>
      </c>
      <c r="D1000" s="8">
        <v>2.94</v>
      </c>
      <c r="E1000" s="4">
        <v>13</v>
      </c>
      <c r="F1000" s="8">
        <v>4.42</v>
      </c>
      <c r="G1000" s="4">
        <v>2</v>
      </c>
      <c r="H1000" s="8">
        <v>0.97</v>
      </c>
      <c r="I1000" s="4">
        <v>0</v>
      </c>
    </row>
    <row r="1001" spans="1:9" x14ac:dyDescent="0.2">
      <c r="A1001" s="2">
        <v>11</v>
      </c>
      <c r="B1001" s="1" t="s">
        <v>92</v>
      </c>
      <c r="C1001" s="4">
        <v>14</v>
      </c>
      <c r="D1001" s="8">
        <v>2.75</v>
      </c>
      <c r="E1001" s="4">
        <v>14</v>
      </c>
      <c r="F1001" s="8">
        <v>4.76</v>
      </c>
      <c r="G1001" s="4">
        <v>0</v>
      </c>
      <c r="H1001" s="8">
        <v>0</v>
      </c>
      <c r="I1001" s="4">
        <v>0</v>
      </c>
    </row>
    <row r="1002" spans="1:9" x14ac:dyDescent="0.2">
      <c r="A1002" s="2">
        <v>12</v>
      </c>
      <c r="B1002" s="1" t="s">
        <v>76</v>
      </c>
      <c r="C1002" s="4">
        <v>13</v>
      </c>
      <c r="D1002" s="8">
        <v>2.5499999999999998</v>
      </c>
      <c r="E1002" s="4">
        <v>3</v>
      </c>
      <c r="F1002" s="8">
        <v>1.02</v>
      </c>
      <c r="G1002" s="4">
        <v>10</v>
      </c>
      <c r="H1002" s="8">
        <v>4.8499999999999996</v>
      </c>
      <c r="I1002" s="4">
        <v>0</v>
      </c>
    </row>
    <row r="1003" spans="1:9" x14ac:dyDescent="0.2">
      <c r="A1003" s="2">
        <v>13</v>
      </c>
      <c r="B1003" s="1" t="s">
        <v>80</v>
      </c>
      <c r="C1003" s="4">
        <v>11</v>
      </c>
      <c r="D1003" s="8">
        <v>2.16</v>
      </c>
      <c r="E1003" s="4">
        <v>8</v>
      </c>
      <c r="F1003" s="8">
        <v>2.72</v>
      </c>
      <c r="G1003" s="4">
        <v>3</v>
      </c>
      <c r="H1003" s="8">
        <v>1.46</v>
      </c>
      <c r="I1003" s="4">
        <v>0</v>
      </c>
    </row>
    <row r="1004" spans="1:9" x14ac:dyDescent="0.2">
      <c r="A1004" s="2">
        <v>13</v>
      </c>
      <c r="B1004" s="1" t="s">
        <v>101</v>
      </c>
      <c r="C1004" s="4">
        <v>11</v>
      </c>
      <c r="D1004" s="8">
        <v>2.16</v>
      </c>
      <c r="E1004" s="4">
        <v>9</v>
      </c>
      <c r="F1004" s="8">
        <v>3.06</v>
      </c>
      <c r="G1004" s="4">
        <v>2</v>
      </c>
      <c r="H1004" s="8">
        <v>0.97</v>
      </c>
      <c r="I1004" s="4">
        <v>0</v>
      </c>
    </row>
    <row r="1005" spans="1:9" x14ac:dyDescent="0.2">
      <c r="A1005" s="2">
        <v>15</v>
      </c>
      <c r="B1005" s="1" t="s">
        <v>111</v>
      </c>
      <c r="C1005" s="4">
        <v>9</v>
      </c>
      <c r="D1005" s="8">
        <v>1.76</v>
      </c>
      <c r="E1005" s="4">
        <v>6</v>
      </c>
      <c r="F1005" s="8">
        <v>2.04</v>
      </c>
      <c r="G1005" s="4">
        <v>3</v>
      </c>
      <c r="H1005" s="8">
        <v>1.46</v>
      </c>
      <c r="I1005" s="4">
        <v>0</v>
      </c>
    </row>
    <row r="1006" spans="1:9" x14ac:dyDescent="0.2">
      <c r="A1006" s="2">
        <v>15</v>
      </c>
      <c r="B1006" s="1" t="s">
        <v>87</v>
      </c>
      <c r="C1006" s="4">
        <v>9</v>
      </c>
      <c r="D1006" s="8">
        <v>1.76</v>
      </c>
      <c r="E1006" s="4">
        <v>4</v>
      </c>
      <c r="F1006" s="8">
        <v>1.36</v>
      </c>
      <c r="G1006" s="4">
        <v>5</v>
      </c>
      <c r="H1006" s="8">
        <v>2.4300000000000002</v>
      </c>
      <c r="I1006" s="4">
        <v>0</v>
      </c>
    </row>
    <row r="1007" spans="1:9" x14ac:dyDescent="0.2">
      <c r="A1007" s="2">
        <v>17</v>
      </c>
      <c r="B1007" s="1" t="s">
        <v>104</v>
      </c>
      <c r="C1007" s="4">
        <v>8</v>
      </c>
      <c r="D1007" s="8">
        <v>1.57</v>
      </c>
      <c r="E1007" s="4">
        <v>7</v>
      </c>
      <c r="F1007" s="8">
        <v>2.38</v>
      </c>
      <c r="G1007" s="4">
        <v>1</v>
      </c>
      <c r="H1007" s="8">
        <v>0.49</v>
      </c>
      <c r="I1007" s="4">
        <v>0</v>
      </c>
    </row>
    <row r="1008" spans="1:9" x14ac:dyDescent="0.2">
      <c r="A1008" s="2">
        <v>18</v>
      </c>
      <c r="B1008" s="1" t="s">
        <v>78</v>
      </c>
      <c r="C1008" s="4">
        <v>7</v>
      </c>
      <c r="D1008" s="8">
        <v>1.37</v>
      </c>
      <c r="E1008" s="4">
        <v>0</v>
      </c>
      <c r="F1008" s="8">
        <v>0</v>
      </c>
      <c r="G1008" s="4">
        <v>7</v>
      </c>
      <c r="H1008" s="8">
        <v>3.4</v>
      </c>
      <c r="I1008" s="4">
        <v>0</v>
      </c>
    </row>
    <row r="1009" spans="1:9" x14ac:dyDescent="0.2">
      <c r="A1009" s="2">
        <v>18</v>
      </c>
      <c r="B1009" s="1" t="s">
        <v>94</v>
      </c>
      <c r="C1009" s="4">
        <v>7</v>
      </c>
      <c r="D1009" s="8">
        <v>1.37</v>
      </c>
      <c r="E1009" s="4">
        <v>1</v>
      </c>
      <c r="F1009" s="8">
        <v>0.34</v>
      </c>
      <c r="G1009" s="4">
        <v>6</v>
      </c>
      <c r="H1009" s="8">
        <v>2.91</v>
      </c>
      <c r="I1009" s="4">
        <v>0</v>
      </c>
    </row>
    <row r="1010" spans="1:9" x14ac:dyDescent="0.2">
      <c r="A1010" s="2">
        <v>20</v>
      </c>
      <c r="B1010" s="1" t="s">
        <v>115</v>
      </c>
      <c r="C1010" s="4">
        <v>6</v>
      </c>
      <c r="D1010" s="8">
        <v>1.18</v>
      </c>
      <c r="E1010" s="4">
        <v>3</v>
      </c>
      <c r="F1010" s="8">
        <v>1.02</v>
      </c>
      <c r="G1010" s="4">
        <v>3</v>
      </c>
      <c r="H1010" s="8">
        <v>1.46</v>
      </c>
      <c r="I1010" s="4">
        <v>0</v>
      </c>
    </row>
    <row r="1011" spans="1:9" x14ac:dyDescent="0.2">
      <c r="A1011" s="2">
        <v>20</v>
      </c>
      <c r="B1011" s="1" t="s">
        <v>95</v>
      </c>
      <c r="C1011" s="4">
        <v>6</v>
      </c>
      <c r="D1011" s="8">
        <v>1.18</v>
      </c>
      <c r="E1011" s="4">
        <v>2</v>
      </c>
      <c r="F1011" s="8">
        <v>0.68</v>
      </c>
      <c r="G1011" s="4">
        <v>4</v>
      </c>
      <c r="H1011" s="8">
        <v>1.94</v>
      </c>
      <c r="I1011" s="4">
        <v>0</v>
      </c>
    </row>
    <row r="1012" spans="1:9" x14ac:dyDescent="0.2">
      <c r="A1012" s="2">
        <v>20</v>
      </c>
      <c r="B1012" s="1" t="s">
        <v>79</v>
      </c>
      <c r="C1012" s="4">
        <v>6</v>
      </c>
      <c r="D1012" s="8">
        <v>1.18</v>
      </c>
      <c r="E1012" s="4">
        <v>1</v>
      </c>
      <c r="F1012" s="8">
        <v>0.34</v>
      </c>
      <c r="G1012" s="4">
        <v>5</v>
      </c>
      <c r="H1012" s="8">
        <v>2.4300000000000002</v>
      </c>
      <c r="I1012" s="4">
        <v>0</v>
      </c>
    </row>
    <row r="1013" spans="1:9" x14ac:dyDescent="0.2">
      <c r="A1013" s="2">
        <v>20</v>
      </c>
      <c r="B1013" s="1" t="s">
        <v>84</v>
      </c>
      <c r="C1013" s="4">
        <v>6</v>
      </c>
      <c r="D1013" s="8">
        <v>1.18</v>
      </c>
      <c r="E1013" s="4">
        <v>2</v>
      </c>
      <c r="F1013" s="8">
        <v>0.68</v>
      </c>
      <c r="G1013" s="4">
        <v>4</v>
      </c>
      <c r="H1013" s="8">
        <v>1.94</v>
      </c>
      <c r="I1013" s="4">
        <v>0</v>
      </c>
    </row>
    <row r="1014" spans="1:9" x14ac:dyDescent="0.2">
      <c r="A1014" s="2">
        <v>20</v>
      </c>
      <c r="B1014" s="1" t="s">
        <v>86</v>
      </c>
      <c r="C1014" s="4">
        <v>6</v>
      </c>
      <c r="D1014" s="8">
        <v>1.18</v>
      </c>
      <c r="E1014" s="4">
        <v>5</v>
      </c>
      <c r="F1014" s="8">
        <v>1.7</v>
      </c>
      <c r="G1014" s="4">
        <v>1</v>
      </c>
      <c r="H1014" s="8">
        <v>0.49</v>
      </c>
      <c r="I1014" s="4">
        <v>0</v>
      </c>
    </row>
    <row r="1015" spans="1:9" x14ac:dyDescent="0.2">
      <c r="A1015" s="2">
        <v>20</v>
      </c>
      <c r="B1015" s="1" t="s">
        <v>90</v>
      </c>
      <c r="C1015" s="4">
        <v>6</v>
      </c>
      <c r="D1015" s="8">
        <v>1.18</v>
      </c>
      <c r="E1015" s="4">
        <v>4</v>
      </c>
      <c r="F1015" s="8">
        <v>1.36</v>
      </c>
      <c r="G1015" s="4">
        <v>2</v>
      </c>
      <c r="H1015" s="8">
        <v>0.97</v>
      </c>
      <c r="I1015" s="4">
        <v>0</v>
      </c>
    </row>
    <row r="1016" spans="1:9" x14ac:dyDescent="0.2">
      <c r="A1016" s="1"/>
      <c r="C1016" s="4"/>
      <c r="D1016" s="8"/>
      <c r="E1016" s="4"/>
      <c r="F1016" s="8"/>
      <c r="G1016" s="4"/>
      <c r="H1016" s="8"/>
      <c r="I1016" s="4"/>
    </row>
    <row r="1017" spans="1:9" x14ac:dyDescent="0.2">
      <c r="A1017" s="1" t="s">
        <v>45</v>
      </c>
      <c r="C1017" s="4"/>
      <c r="D1017" s="8"/>
      <c r="E1017" s="4"/>
      <c r="F1017" s="8"/>
      <c r="G1017" s="4"/>
      <c r="H1017" s="8"/>
      <c r="I1017" s="4"/>
    </row>
    <row r="1018" spans="1:9" x14ac:dyDescent="0.2">
      <c r="A1018" s="2">
        <v>1</v>
      </c>
      <c r="B1018" s="1" t="s">
        <v>88</v>
      </c>
      <c r="C1018" s="4">
        <v>46</v>
      </c>
      <c r="D1018" s="8">
        <v>13.29</v>
      </c>
      <c r="E1018" s="4">
        <v>44</v>
      </c>
      <c r="F1018" s="8">
        <v>17.96</v>
      </c>
      <c r="G1018" s="4">
        <v>1</v>
      </c>
      <c r="H1018" s="8">
        <v>1.06</v>
      </c>
      <c r="I1018" s="4">
        <v>1</v>
      </c>
    </row>
    <row r="1019" spans="1:9" x14ac:dyDescent="0.2">
      <c r="A1019" s="2">
        <v>2</v>
      </c>
      <c r="B1019" s="1" t="s">
        <v>74</v>
      </c>
      <c r="C1019" s="4">
        <v>41</v>
      </c>
      <c r="D1019" s="8">
        <v>11.85</v>
      </c>
      <c r="E1019" s="4">
        <v>19</v>
      </c>
      <c r="F1019" s="8">
        <v>7.76</v>
      </c>
      <c r="G1019" s="4">
        <v>22</v>
      </c>
      <c r="H1019" s="8">
        <v>23.4</v>
      </c>
      <c r="I1019" s="4">
        <v>0</v>
      </c>
    </row>
    <row r="1020" spans="1:9" x14ac:dyDescent="0.2">
      <c r="A1020" s="2">
        <v>3</v>
      </c>
      <c r="B1020" s="1" t="s">
        <v>89</v>
      </c>
      <c r="C1020" s="4">
        <v>30</v>
      </c>
      <c r="D1020" s="8">
        <v>8.67</v>
      </c>
      <c r="E1020" s="4">
        <v>28</v>
      </c>
      <c r="F1020" s="8">
        <v>11.43</v>
      </c>
      <c r="G1020" s="4">
        <v>2</v>
      </c>
      <c r="H1020" s="8">
        <v>2.13</v>
      </c>
      <c r="I1020" s="4">
        <v>0</v>
      </c>
    </row>
    <row r="1021" spans="1:9" x14ac:dyDescent="0.2">
      <c r="A1021" s="2">
        <v>4</v>
      </c>
      <c r="B1021" s="1" t="s">
        <v>75</v>
      </c>
      <c r="C1021" s="4">
        <v>24</v>
      </c>
      <c r="D1021" s="8">
        <v>6.94</v>
      </c>
      <c r="E1021" s="4">
        <v>21</v>
      </c>
      <c r="F1021" s="8">
        <v>8.57</v>
      </c>
      <c r="G1021" s="4">
        <v>3</v>
      </c>
      <c r="H1021" s="8">
        <v>3.19</v>
      </c>
      <c r="I1021" s="4">
        <v>0</v>
      </c>
    </row>
    <row r="1022" spans="1:9" x14ac:dyDescent="0.2">
      <c r="A1022" s="2">
        <v>5</v>
      </c>
      <c r="B1022" s="1" t="s">
        <v>81</v>
      </c>
      <c r="C1022" s="4">
        <v>21</v>
      </c>
      <c r="D1022" s="8">
        <v>6.07</v>
      </c>
      <c r="E1022" s="4">
        <v>16</v>
      </c>
      <c r="F1022" s="8">
        <v>6.53</v>
      </c>
      <c r="G1022" s="4">
        <v>5</v>
      </c>
      <c r="H1022" s="8">
        <v>5.32</v>
      </c>
      <c r="I1022" s="4">
        <v>0</v>
      </c>
    </row>
    <row r="1023" spans="1:9" x14ac:dyDescent="0.2">
      <c r="A1023" s="2">
        <v>5</v>
      </c>
      <c r="B1023" s="1" t="s">
        <v>83</v>
      </c>
      <c r="C1023" s="4">
        <v>21</v>
      </c>
      <c r="D1023" s="8">
        <v>6.07</v>
      </c>
      <c r="E1023" s="4">
        <v>17</v>
      </c>
      <c r="F1023" s="8">
        <v>6.94</v>
      </c>
      <c r="G1023" s="4">
        <v>4</v>
      </c>
      <c r="H1023" s="8">
        <v>4.26</v>
      </c>
      <c r="I1023" s="4">
        <v>0</v>
      </c>
    </row>
    <row r="1024" spans="1:9" x14ac:dyDescent="0.2">
      <c r="A1024" s="2">
        <v>7</v>
      </c>
      <c r="B1024" s="1" t="s">
        <v>82</v>
      </c>
      <c r="C1024" s="4">
        <v>15</v>
      </c>
      <c r="D1024" s="8">
        <v>4.34</v>
      </c>
      <c r="E1024" s="4">
        <v>10</v>
      </c>
      <c r="F1024" s="8">
        <v>4.08</v>
      </c>
      <c r="G1024" s="4">
        <v>5</v>
      </c>
      <c r="H1024" s="8">
        <v>5.32</v>
      </c>
      <c r="I1024" s="4">
        <v>0</v>
      </c>
    </row>
    <row r="1025" spans="1:9" x14ac:dyDescent="0.2">
      <c r="A1025" s="2">
        <v>7</v>
      </c>
      <c r="B1025" s="1" t="s">
        <v>91</v>
      </c>
      <c r="C1025" s="4">
        <v>15</v>
      </c>
      <c r="D1025" s="8">
        <v>4.34</v>
      </c>
      <c r="E1025" s="4">
        <v>13</v>
      </c>
      <c r="F1025" s="8">
        <v>5.31</v>
      </c>
      <c r="G1025" s="4">
        <v>0</v>
      </c>
      <c r="H1025" s="8">
        <v>0</v>
      </c>
      <c r="I1025" s="4">
        <v>0</v>
      </c>
    </row>
    <row r="1026" spans="1:9" x14ac:dyDescent="0.2">
      <c r="A1026" s="2">
        <v>7</v>
      </c>
      <c r="B1026" s="1" t="s">
        <v>104</v>
      </c>
      <c r="C1026" s="4">
        <v>15</v>
      </c>
      <c r="D1026" s="8">
        <v>4.34</v>
      </c>
      <c r="E1026" s="4">
        <v>13</v>
      </c>
      <c r="F1026" s="8">
        <v>5.31</v>
      </c>
      <c r="G1026" s="4">
        <v>2</v>
      </c>
      <c r="H1026" s="8">
        <v>2.13</v>
      </c>
      <c r="I1026" s="4">
        <v>0</v>
      </c>
    </row>
    <row r="1027" spans="1:9" x14ac:dyDescent="0.2">
      <c r="A1027" s="2">
        <v>10</v>
      </c>
      <c r="B1027" s="1" t="s">
        <v>76</v>
      </c>
      <c r="C1027" s="4">
        <v>13</v>
      </c>
      <c r="D1027" s="8">
        <v>3.76</v>
      </c>
      <c r="E1027" s="4">
        <v>9</v>
      </c>
      <c r="F1027" s="8">
        <v>3.67</v>
      </c>
      <c r="G1027" s="4">
        <v>4</v>
      </c>
      <c r="H1027" s="8">
        <v>4.26</v>
      </c>
      <c r="I1027" s="4">
        <v>0</v>
      </c>
    </row>
    <row r="1028" spans="1:9" x14ac:dyDescent="0.2">
      <c r="A1028" s="2">
        <v>11</v>
      </c>
      <c r="B1028" s="1" t="s">
        <v>80</v>
      </c>
      <c r="C1028" s="4">
        <v>11</v>
      </c>
      <c r="D1028" s="8">
        <v>3.18</v>
      </c>
      <c r="E1028" s="4">
        <v>10</v>
      </c>
      <c r="F1028" s="8">
        <v>4.08</v>
      </c>
      <c r="G1028" s="4">
        <v>1</v>
      </c>
      <c r="H1028" s="8">
        <v>1.06</v>
      </c>
      <c r="I1028" s="4">
        <v>0</v>
      </c>
    </row>
    <row r="1029" spans="1:9" x14ac:dyDescent="0.2">
      <c r="A1029" s="2">
        <v>12</v>
      </c>
      <c r="B1029" s="1" t="s">
        <v>87</v>
      </c>
      <c r="C1029" s="4">
        <v>8</v>
      </c>
      <c r="D1029" s="8">
        <v>2.31</v>
      </c>
      <c r="E1029" s="4">
        <v>5</v>
      </c>
      <c r="F1029" s="8">
        <v>2.04</v>
      </c>
      <c r="G1029" s="4">
        <v>3</v>
      </c>
      <c r="H1029" s="8">
        <v>3.19</v>
      </c>
      <c r="I1029" s="4">
        <v>0</v>
      </c>
    </row>
    <row r="1030" spans="1:9" x14ac:dyDescent="0.2">
      <c r="A1030" s="2">
        <v>13</v>
      </c>
      <c r="B1030" s="1" t="s">
        <v>85</v>
      </c>
      <c r="C1030" s="4">
        <v>7</v>
      </c>
      <c r="D1030" s="8">
        <v>2.02</v>
      </c>
      <c r="E1030" s="4">
        <v>5</v>
      </c>
      <c r="F1030" s="8">
        <v>2.04</v>
      </c>
      <c r="G1030" s="4">
        <v>2</v>
      </c>
      <c r="H1030" s="8">
        <v>2.13</v>
      </c>
      <c r="I1030" s="4">
        <v>0</v>
      </c>
    </row>
    <row r="1031" spans="1:9" x14ac:dyDescent="0.2">
      <c r="A1031" s="2">
        <v>13</v>
      </c>
      <c r="B1031" s="1" t="s">
        <v>92</v>
      </c>
      <c r="C1031" s="4">
        <v>7</v>
      </c>
      <c r="D1031" s="8">
        <v>2.02</v>
      </c>
      <c r="E1031" s="4">
        <v>4</v>
      </c>
      <c r="F1031" s="8">
        <v>1.63</v>
      </c>
      <c r="G1031" s="4">
        <v>3</v>
      </c>
      <c r="H1031" s="8">
        <v>3.19</v>
      </c>
      <c r="I1031" s="4">
        <v>0</v>
      </c>
    </row>
    <row r="1032" spans="1:9" x14ac:dyDescent="0.2">
      <c r="A1032" s="2">
        <v>15</v>
      </c>
      <c r="B1032" s="1" t="s">
        <v>112</v>
      </c>
      <c r="C1032" s="4">
        <v>5</v>
      </c>
      <c r="D1032" s="8">
        <v>1.45</v>
      </c>
      <c r="E1032" s="4">
        <v>3</v>
      </c>
      <c r="F1032" s="8">
        <v>1.22</v>
      </c>
      <c r="G1032" s="4">
        <v>2</v>
      </c>
      <c r="H1032" s="8">
        <v>2.13</v>
      </c>
      <c r="I1032" s="4">
        <v>0</v>
      </c>
    </row>
    <row r="1033" spans="1:9" x14ac:dyDescent="0.2">
      <c r="A1033" s="2">
        <v>16</v>
      </c>
      <c r="B1033" s="1" t="s">
        <v>110</v>
      </c>
      <c r="C1033" s="4">
        <v>4</v>
      </c>
      <c r="D1033" s="8">
        <v>1.1599999999999999</v>
      </c>
      <c r="E1033" s="4">
        <v>1</v>
      </c>
      <c r="F1033" s="8">
        <v>0.41</v>
      </c>
      <c r="G1033" s="4">
        <v>3</v>
      </c>
      <c r="H1033" s="8">
        <v>3.19</v>
      </c>
      <c r="I1033" s="4">
        <v>0</v>
      </c>
    </row>
    <row r="1034" spans="1:9" x14ac:dyDescent="0.2">
      <c r="A1034" s="2">
        <v>16</v>
      </c>
      <c r="B1034" s="1" t="s">
        <v>117</v>
      </c>
      <c r="C1034" s="4">
        <v>4</v>
      </c>
      <c r="D1034" s="8">
        <v>1.1599999999999999</v>
      </c>
      <c r="E1034" s="4">
        <v>4</v>
      </c>
      <c r="F1034" s="8">
        <v>1.63</v>
      </c>
      <c r="G1034" s="4">
        <v>0</v>
      </c>
      <c r="H1034" s="8">
        <v>0</v>
      </c>
      <c r="I1034" s="4">
        <v>0</v>
      </c>
    </row>
    <row r="1035" spans="1:9" x14ac:dyDescent="0.2">
      <c r="A1035" s="2">
        <v>16</v>
      </c>
      <c r="B1035" s="1" t="s">
        <v>77</v>
      </c>
      <c r="C1035" s="4">
        <v>4</v>
      </c>
      <c r="D1035" s="8">
        <v>1.1599999999999999</v>
      </c>
      <c r="E1035" s="4">
        <v>4</v>
      </c>
      <c r="F1035" s="8">
        <v>1.63</v>
      </c>
      <c r="G1035" s="4">
        <v>0</v>
      </c>
      <c r="H1035" s="8">
        <v>0</v>
      </c>
      <c r="I1035" s="4">
        <v>0</v>
      </c>
    </row>
    <row r="1036" spans="1:9" x14ac:dyDescent="0.2">
      <c r="A1036" s="2">
        <v>16</v>
      </c>
      <c r="B1036" s="1" t="s">
        <v>78</v>
      </c>
      <c r="C1036" s="4">
        <v>4</v>
      </c>
      <c r="D1036" s="8">
        <v>1.1599999999999999</v>
      </c>
      <c r="E1036" s="4">
        <v>1</v>
      </c>
      <c r="F1036" s="8">
        <v>0.41</v>
      </c>
      <c r="G1036" s="4">
        <v>3</v>
      </c>
      <c r="H1036" s="8">
        <v>3.19</v>
      </c>
      <c r="I1036" s="4">
        <v>0</v>
      </c>
    </row>
    <row r="1037" spans="1:9" x14ac:dyDescent="0.2">
      <c r="A1037" s="2">
        <v>16</v>
      </c>
      <c r="B1037" s="1" t="s">
        <v>90</v>
      </c>
      <c r="C1037" s="4">
        <v>4</v>
      </c>
      <c r="D1037" s="8">
        <v>1.1599999999999999</v>
      </c>
      <c r="E1037" s="4">
        <v>4</v>
      </c>
      <c r="F1037" s="8">
        <v>1.63</v>
      </c>
      <c r="G1037" s="4">
        <v>0</v>
      </c>
      <c r="H1037" s="8">
        <v>0</v>
      </c>
      <c r="I1037" s="4">
        <v>0</v>
      </c>
    </row>
    <row r="1038" spans="1:9" x14ac:dyDescent="0.2">
      <c r="A1038" s="2">
        <v>16</v>
      </c>
      <c r="B1038" s="1" t="s">
        <v>93</v>
      </c>
      <c r="C1038" s="4">
        <v>4</v>
      </c>
      <c r="D1038" s="8">
        <v>1.1599999999999999</v>
      </c>
      <c r="E1038" s="4">
        <v>0</v>
      </c>
      <c r="F1038" s="8">
        <v>0</v>
      </c>
      <c r="G1038" s="4">
        <v>3</v>
      </c>
      <c r="H1038" s="8">
        <v>3.19</v>
      </c>
      <c r="I1038" s="4">
        <v>0</v>
      </c>
    </row>
    <row r="1039" spans="1:9" x14ac:dyDescent="0.2">
      <c r="A1039" s="2">
        <v>16</v>
      </c>
      <c r="B1039" s="1" t="s">
        <v>94</v>
      </c>
      <c r="C1039" s="4">
        <v>4</v>
      </c>
      <c r="D1039" s="8">
        <v>1.1599999999999999</v>
      </c>
      <c r="E1039" s="4">
        <v>0</v>
      </c>
      <c r="F1039" s="8">
        <v>0</v>
      </c>
      <c r="G1039" s="4">
        <v>3</v>
      </c>
      <c r="H1039" s="8">
        <v>3.19</v>
      </c>
      <c r="I1039" s="4">
        <v>1</v>
      </c>
    </row>
    <row r="1040" spans="1:9" x14ac:dyDescent="0.2">
      <c r="A1040" s="1"/>
      <c r="C1040" s="4"/>
      <c r="D1040" s="8"/>
      <c r="E1040" s="4"/>
      <c r="F1040" s="8"/>
      <c r="G1040" s="4"/>
      <c r="H1040" s="8"/>
      <c r="I1040" s="4"/>
    </row>
    <row r="1041" spans="1:9" x14ac:dyDescent="0.2">
      <c r="A1041" s="1" t="s">
        <v>46</v>
      </c>
      <c r="C1041" s="4"/>
      <c r="D1041" s="8"/>
      <c r="E1041" s="4"/>
      <c r="F1041" s="8"/>
      <c r="G1041" s="4"/>
      <c r="H1041" s="8"/>
      <c r="I1041" s="4"/>
    </row>
    <row r="1042" spans="1:9" x14ac:dyDescent="0.2">
      <c r="A1042" s="2">
        <v>1</v>
      </c>
      <c r="B1042" s="1" t="s">
        <v>89</v>
      </c>
      <c r="C1042" s="4">
        <v>81</v>
      </c>
      <c r="D1042" s="8">
        <v>10.93</v>
      </c>
      <c r="E1042" s="4">
        <v>72</v>
      </c>
      <c r="F1042" s="8">
        <v>15.93</v>
      </c>
      <c r="G1042" s="4">
        <v>9</v>
      </c>
      <c r="H1042" s="8">
        <v>3.23</v>
      </c>
      <c r="I1042" s="4">
        <v>0</v>
      </c>
    </row>
    <row r="1043" spans="1:9" x14ac:dyDescent="0.2">
      <c r="A1043" s="2">
        <v>2</v>
      </c>
      <c r="B1043" s="1" t="s">
        <v>88</v>
      </c>
      <c r="C1043" s="4">
        <v>65</v>
      </c>
      <c r="D1043" s="8">
        <v>8.77</v>
      </c>
      <c r="E1043" s="4">
        <v>58</v>
      </c>
      <c r="F1043" s="8">
        <v>12.83</v>
      </c>
      <c r="G1043" s="4">
        <v>7</v>
      </c>
      <c r="H1043" s="8">
        <v>2.5099999999999998</v>
      </c>
      <c r="I1043" s="4">
        <v>0</v>
      </c>
    </row>
    <row r="1044" spans="1:9" x14ac:dyDescent="0.2">
      <c r="A1044" s="2">
        <v>3</v>
      </c>
      <c r="B1044" s="1" t="s">
        <v>91</v>
      </c>
      <c r="C1044" s="4">
        <v>61</v>
      </c>
      <c r="D1044" s="8">
        <v>8.23</v>
      </c>
      <c r="E1044" s="4">
        <v>50</v>
      </c>
      <c r="F1044" s="8">
        <v>11.06</v>
      </c>
      <c r="G1044" s="4">
        <v>6</v>
      </c>
      <c r="H1044" s="8">
        <v>2.15</v>
      </c>
      <c r="I1044" s="4">
        <v>0</v>
      </c>
    </row>
    <row r="1045" spans="1:9" x14ac:dyDescent="0.2">
      <c r="A1045" s="2">
        <v>4</v>
      </c>
      <c r="B1045" s="1" t="s">
        <v>74</v>
      </c>
      <c r="C1045" s="4">
        <v>59</v>
      </c>
      <c r="D1045" s="8">
        <v>7.96</v>
      </c>
      <c r="E1045" s="4">
        <v>16</v>
      </c>
      <c r="F1045" s="8">
        <v>3.54</v>
      </c>
      <c r="G1045" s="4">
        <v>43</v>
      </c>
      <c r="H1045" s="8">
        <v>15.41</v>
      </c>
      <c r="I1045" s="4">
        <v>0</v>
      </c>
    </row>
    <row r="1046" spans="1:9" x14ac:dyDescent="0.2">
      <c r="A1046" s="2">
        <v>5</v>
      </c>
      <c r="B1046" s="1" t="s">
        <v>85</v>
      </c>
      <c r="C1046" s="4">
        <v>56</v>
      </c>
      <c r="D1046" s="8">
        <v>7.56</v>
      </c>
      <c r="E1046" s="4">
        <v>35</v>
      </c>
      <c r="F1046" s="8">
        <v>7.74</v>
      </c>
      <c r="G1046" s="4">
        <v>21</v>
      </c>
      <c r="H1046" s="8">
        <v>7.53</v>
      </c>
      <c r="I1046" s="4">
        <v>0</v>
      </c>
    </row>
    <row r="1047" spans="1:9" x14ac:dyDescent="0.2">
      <c r="A1047" s="2">
        <v>6</v>
      </c>
      <c r="B1047" s="1" t="s">
        <v>76</v>
      </c>
      <c r="C1047" s="4">
        <v>47</v>
      </c>
      <c r="D1047" s="8">
        <v>6.34</v>
      </c>
      <c r="E1047" s="4">
        <v>22</v>
      </c>
      <c r="F1047" s="8">
        <v>4.87</v>
      </c>
      <c r="G1047" s="4">
        <v>25</v>
      </c>
      <c r="H1047" s="8">
        <v>8.9600000000000009</v>
      </c>
      <c r="I1047" s="4">
        <v>0</v>
      </c>
    </row>
    <row r="1048" spans="1:9" x14ac:dyDescent="0.2">
      <c r="A1048" s="2">
        <v>7</v>
      </c>
      <c r="B1048" s="1" t="s">
        <v>75</v>
      </c>
      <c r="C1048" s="4">
        <v>43</v>
      </c>
      <c r="D1048" s="8">
        <v>5.8</v>
      </c>
      <c r="E1048" s="4">
        <v>24</v>
      </c>
      <c r="F1048" s="8">
        <v>5.31</v>
      </c>
      <c r="G1048" s="4">
        <v>19</v>
      </c>
      <c r="H1048" s="8">
        <v>6.81</v>
      </c>
      <c r="I1048" s="4">
        <v>0</v>
      </c>
    </row>
    <row r="1049" spans="1:9" x14ac:dyDescent="0.2">
      <c r="A1049" s="2">
        <v>8</v>
      </c>
      <c r="B1049" s="1" t="s">
        <v>83</v>
      </c>
      <c r="C1049" s="4">
        <v>39</v>
      </c>
      <c r="D1049" s="8">
        <v>5.26</v>
      </c>
      <c r="E1049" s="4">
        <v>20</v>
      </c>
      <c r="F1049" s="8">
        <v>4.42</v>
      </c>
      <c r="G1049" s="4">
        <v>19</v>
      </c>
      <c r="H1049" s="8">
        <v>6.81</v>
      </c>
      <c r="I1049" s="4">
        <v>0</v>
      </c>
    </row>
    <row r="1050" spans="1:9" x14ac:dyDescent="0.2">
      <c r="A1050" s="2">
        <v>9</v>
      </c>
      <c r="B1050" s="1" t="s">
        <v>82</v>
      </c>
      <c r="C1050" s="4">
        <v>27</v>
      </c>
      <c r="D1050" s="8">
        <v>3.64</v>
      </c>
      <c r="E1050" s="4">
        <v>21</v>
      </c>
      <c r="F1050" s="8">
        <v>4.6500000000000004</v>
      </c>
      <c r="G1050" s="4">
        <v>6</v>
      </c>
      <c r="H1050" s="8">
        <v>2.15</v>
      </c>
      <c r="I1050" s="4">
        <v>0</v>
      </c>
    </row>
    <row r="1051" spans="1:9" x14ac:dyDescent="0.2">
      <c r="A1051" s="2">
        <v>10</v>
      </c>
      <c r="B1051" s="1" t="s">
        <v>81</v>
      </c>
      <c r="C1051" s="4">
        <v>24</v>
      </c>
      <c r="D1051" s="8">
        <v>3.24</v>
      </c>
      <c r="E1051" s="4">
        <v>17</v>
      </c>
      <c r="F1051" s="8">
        <v>3.76</v>
      </c>
      <c r="G1051" s="4">
        <v>7</v>
      </c>
      <c r="H1051" s="8">
        <v>2.5099999999999998</v>
      </c>
      <c r="I1051" s="4">
        <v>0</v>
      </c>
    </row>
    <row r="1052" spans="1:9" x14ac:dyDescent="0.2">
      <c r="A1052" s="2">
        <v>11</v>
      </c>
      <c r="B1052" s="1" t="s">
        <v>86</v>
      </c>
      <c r="C1052" s="4">
        <v>23</v>
      </c>
      <c r="D1052" s="8">
        <v>3.1</v>
      </c>
      <c r="E1052" s="4">
        <v>18</v>
      </c>
      <c r="F1052" s="8">
        <v>3.98</v>
      </c>
      <c r="G1052" s="4">
        <v>5</v>
      </c>
      <c r="H1052" s="8">
        <v>1.79</v>
      </c>
      <c r="I1052" s="4">
        <v>0</v>
      </c>
    </row>
    <row r="1053" spans="1:9" x14ac:dyDescent="0.2">
      <c r="A1053" s="2">
        <v>11</v>
      </c>
      <c r="B1053" s="1" t="s">
        <v>92</v>
      </c>
      <c r="C1053" s="4">
        <v>23</v>
      </c>
      <c r="D1053" s="8">
        <v>3.1</v>
      </c>
      <c r="E1053" s="4">
        <v>20</v>
      </c>
      <c r="F1053" s="8">
        <v>4.42</v>
      </c>
      <c r="G1053" s="4">
        <v>3</v>
      </c>
      <c r="H1053" s="8">
        <v>1.08</v>
      </c>
      <c r="I1053" s="4">
        <v>0</v>
      </c>
    </row>
    <row r="1054" spans="1:9" x14ac:dyDescent="0.2">
      <c r="A1054" s="2">
        <v>13</v>
      </c>
      <c r="B1054" s="1" t="s">
        <v>80</v>
      </c>
      <c r="C1054" s="4">
        <v>17</v>
      </c>
      <c r="D1054" s="8">
        <v>2.29</v>
      </c>
      <c r="E1054" s="4">
        <v>12</v>
      </c>
      <c r="F1054" s="8">
        <v>2.65</v>
      </c>
      <c r="G1054" s="4">
        <v>5</v>
      </c>
      <c r="H1054" s="8">
        <v>1.79</v>
      </c>
      <c r="I1054" s="4">
        <v>0</v>
      </c>
    </row>
    <row r="1055" spans="1:9" x14ac:dyDescent="0.2">
      <c r="A1055" s="2">
        <v>14</v>
      </c>
      <c r="B1055" s="1" t="s">
        <v>84</v>
      </c>
      <c r="C1055" s="4">
        <v>11</v>
      </c>
      <c r="D1055" s="8">
        <v>1.48</v>
      </c>
      <c r="E1055" s="4">
        <v>2</v>
      </c>
      <c r="F1055" s="8">
        <v>0.44</v>
      </c>
      <c r="G1055" s="4">
        <v>9</v>
      </c>
      <c r="H1055" s="8">
        <v>3.23</v>
      </c>
      <c r="I1055" s="4">
        <v>0</v>
      </c>
    </row>
    <row r="1056" spans="1:9" x14ac:dyDescent="0.2">
      <c r="A1056" s="2">
        <v>14</v>
      </c>
      <c r="B1056" s="1" t="s">
        <v>93</v>
      </c>
      <c r="C1056" s="4">
        <v>11</v>
      </c>
      <c r="D1056" s="8">
        <v>1.48</v>
      </c>
      <c r="E1056" s="4">
        <v>0</v>
      </c>
      <c r="F1056" s="8">
        <v>0</v>
      </c>
      <c r="G1056" s="4">
        <v>9</v>
      </c>
      <c r="H1056" s="8">
        <v>3.23</v>
      </c>
      <c r="I1056" s="4">
        <v>0</v>
      </c>
    </row>
    <row r="1057" spans="1:9" x14ac:dyDescent="0.2">
      <c r="A1057" s="2">
        <v>16</v>
      </c>
      <c r="B1057" s="1" t="s">
        <v>104</v>
      </c>
      <c r="C1057" s="4">
        <v>10</v>
      </c>
      <c r="D1057" s="8">
        <v>1.35</v>
      </c>
      <c r="E1057" s="4">
        <v>7</v>
      </c>
      <c r="F1057" s="8">
        <v>1.55</v>
      </c>
      <c r="G1057" s="4">
        <v>3</v>
      </c>
      <c r="H1057" s="8">
        <v>1.08</v>
      </c>
      <c r="I1057" s="4">
        <v>0</v>
      </c>
    </row>
    <row r="1058" spans="1:9" x14ac:dyDescent="0.2">
      <c r="A1058" s="2">
        <v>17</v>
      </c>
      <c r="B1058" s="1" t="s">
        <v>108</v>
      </c>
      <c r="C1058" s="4">
        <v>9</v>
      </c>
      <c r="D1058" s="8">
        <v>1.21</v>
      </c>
      <c r="E1058" s="4">
        <v>3</v>
      </c>
      <c r="F1058" s="8">
        <v>0.66</v>
      </c>
      <c r="G1058" s="4">
        <v>6</v>
      </c>
      <c r="H1058" s="8">
        <v>2.15</v>
      </c>
      <c r="I1058" s="4">
        <v>0</v>
      </c>
    </row>
    <row r="1059" spans="1:9" x14ac:dyDescent="0.2">
      <c r="A1059" s="2">
        <v>17</v>
      </c>
      <c r="B1059" s="1" t="s">
        <v>87</v>
      </c>
      <c r="C1059" s="4">
        <v>9</v>
      </c>
      <c r="D1059" s="8">
        <v>1.21</v>
      </c>
      <c r="E1059" s="4">
        <v>4</v>
      </c>
      <c r="F1059" s="8">
        <v>0.88</v>
      </c>
      <c r="G1059" s="4">
        <v>5</v>
      </c>
      <c r="H1059" s="8">
        <v>1.79</v>
      </c>
      <c r="I1059" s="4">
        <v>0</v>
      </c>
    </row>
    <row r="1060" spans="1:9" x14ac:dyDescent="0.2">
      <c r="A1060" s="2">
        <v>17</v>
      </c>
      <c r="B1060" s="1" t="s">
        <v>90</v>
      </c>
      <c r="C1060" s="4">
        <v>9</v>
      </c>
      <c r="D1060" s="8">
        <v>1.21</v>
      </c>
      <c r="E1060" s="4">
        <v>4</v>
      </c>
      <c r="F1060" s="8">
        <v>0.88</v>
      </c>
      <c r="G1060" s="4">
        <v>4</v>
      </c>
      <c r="H1060" s="8">
        <v>1.43</v>
      </c>
      <c r="I1060" s="4">
        <v>0</v>
      </c>
    </row>
    <row r="1061" spans="1:9" x14ac:dyDescent="0.2">
      <c r="A1061" s="2">
        <v>20</v>
      </c>
      <c r="B1061" s="1" t="s">
        <v>99</v>
      </c>
      <c r="C1061" s="4">
        <v>8</v>
      </c>
      <c r="D1061" s="8">
        <v>1.08</v>
      </c>
      <c r="E1061" s="4">
        <v>5</v>
      </c>
      <c r="F1061" s="8">
        <v>1.1100000000000001</v>
      </c>
      <c r="G1061" s="4">
        <v>3</v>
      </c>
      <c r="H1061" s="8">
        <v>1.08</v>
      </c>
      <c r="I1061" s="4">
        <v>0</v>
      </c>
    </row>
    <row r="1062" spans="1:9" x14ac:dyDescent="0.2">
      <c r="A1062" s="2">
        <v>20</v>
      </c>
      <c r="B1062" s="1" t="s">
        <v>77</v>
      </c>
      <c r="C1062" s="4">
        <v>8</v>
      </c>
      <c r="D1062" s="8">
        <v>1.08</v>
      </c>
      <c r="E1062" s="4">
        <v>2</v>
      </c>
      <c r="F1062" s="8">
        <v>0.44</v>
      </c>
      <c r="G1062" s="4">
        <v>6</v>
      </c>
      <c r="H1062" s="8">
        <v>2.15</v>
      </c>
      <c r="I1062" s="4">
        <v>0</v>
      </c>
    </row>
    <row r="1063" spans="1:9" x14ac:dyDescent="0.2">
      <c r="A1063" s="1"/>
      <c r="C1063" s="4"/>
      <c r="D1063" s="8"/>
      <c r="E1063" s="4"/>
      <c r="F1063" s="8"/>
      <c r="G1063" s="4"/>
      <c r="H1063" s="8"/>
      <c r="I1063" s="4"/>
    </row>
    <row r="1064" spans="1:9" x14ac:dyDescent="0.2">
      <c r="A1064" s="1" t="s">
        <v>47</v>
      </c>
      <c r="C1064" s="4"/>
      <c r="D1064" s="8"/>
      <c r="E1064" s="4"/>
      <c r="F1064" s="8"/>
      <c r="G1064" s="4"/>
      <c r="H1064" s="8"/>
      <c r="I1064" s="4"/>
    </row>
    <row r="1065" spans="1:9" x14ac:dyDescent="0.2">
      <c r="A1065" s="2">
        <v>1</v>
      </c>
      <c r="B1065" s="1" t="s">
        <v>83</v>
      </c>
      <c r="C1065" s="4">
        <v>37</v>
      </c>
      <c r="D1065" s="8">
        <v>9.9499999999999993</v>
      </c>
      <c r="E1065" s="4">
        <v>30</v>
      </c>
      <c r="F1065" s="8">
        <v>12.3</v>
      </c>
      <c r="G1065" s="4">
        <v>7</v>
      </c>
      <c r="H1065" s="8">
        <v>6.31</v>
      </c>
      <c r="I1065" s="4">
        <v>0</v>
      </c>
    </row>
    <row r="1066" spans="1:9" x14ac:dyDescent="0.2">
      <c r="A1066" s="2">
        <v>2</v>
      </c>
      <c r="B1066" s="1" t="s">
        <v>89</v>
      </c>
      <c r="C1066" s="4">
        <v>34</v>
      </c>
      <c r="D1066" s="8">
        <v>9.14</v>
      </c>
      <c r="E1066" s="4">
        <v>31</v>
      </c>
      <c r="F1066" s="8">
        <v>12.7</v>
      </c>
      <c r="G1066" s="4">
        <v>3</v>
      </c>
      <c r="H1066" s="8">
        <v>2.7</v>
      </c>
      <c r="I1066" s="4">
        <v>0</v>
      </c>
    </row>
    <row r="1067" spans="1:9" x14ac:dyDescent="0.2">
      <c r="A1067" s="2">
        <v>3</v>
      </c>
      <c r="B1067" s="1" t="s">
        <v>74</v>
      </c>
      <c r="C1067" s="4">
        <v>31</v>
      </c>
      <c r="D1067" s="8">
        <v>8.33</v>
      </c>
      <c r="E1067" s="4">
        <v>15</v>
      </c>
      <c r="F1067" s="8">
        <v>6.15</v>
      </c>
      <c r="G1067" s="4">
        <v>16</v>
      </c>
      <c r="H1067" s="8">
        <v>14.41</v>
      </c>
      <c r="I1067" s="4">
        <v>0</v>
      </c>
    </row>
    <row r="1068" spans="1:9" x14ac:dyDescent="0.2">
      <c r="A1068" s="2">
        <v>4</v>
      </c>
      <c r="B1068" s="1" t="s">
        <v>85</v>
      </c>
      <c r="C1068" s="4">
        <v>29</v>
      </c>
      <c r="D1068" s="8">
        <v>7.8</v>
      </c>
      <c r="E1068" s="4">
        <v>26</v>
      </c>
      <c r="F1068" s="8">
        <v>10.66</v>
      </c>
      <c r="G1068" s="4">
        <v>3</v>
      </c>
      <c r="H1068" s="8">
        <v>2.7</v>
      </c>
      <c r="I1068" s="4">
        <v>0</v>
      </c>
    </row>
    <row r="1069" spans="1:9" x14ac:dyDescent="0.2">
      <c r="A1069" s="2">
        <v>5</v>
      </c>
      <c r="B1069" s="1" t="s">
        <v>91</v>
      </c>
      <c r="C1069" s="4">
        <v>27</v>
      </c>
      <c r="D1069" s="8">
        <v>7.26</v>
      </c>
      <c r="E1069" s="4">
        <v>15</v>
      </c>
      <c r="F1069" s="8">
        <v>6.15</v>
      </c>
      <c r="G1069" s="4">
        <v>1</v>
      </c>
      <c r="H1069" s="8">
        <v>0.9</v>
      </c>
      <c r="I1069" s="4">
        <v>0</v>
      </c>
    </row>
    <row r="1070" spans="1:9" x14ac:dyDescent="0.2">
      <c r="A1070" s="2">
        <v>6</v>
      </c>
      <c r="B1070" s="1" t="s">
        <v>88</v>
      </c>
      <c r="C1070" s="4">
        <v>26</v>
      </c>
      <c r="D1070" s="8">
        <v>6.99</v>
      </c>
      <c r="E1070" s="4">
        <v>26</v>
      </c>
      <c r="F1070" s="8">
        <v>10.66</v>
      </c>
      <c r="G1070" s="4">
        <v>0</v>
      </c>
      <c r="H1070" s="8">
        <v>0</v>
      </c>
      <c r="I1070" s="4">
        <v>0</v>
      </c>
    </row>
    <row r="1071" spans="1:9" x14ac:dyDescent="0.2">
      <c r="A1071" s="2">
        <v>7</v>
      </c>
      <c r="B1071" s="1" t="s">
        <v>76</v>
      </c>
      <c r="C1071" s="4">
        <v>19</v>
      </c>
      <c r="D1071" s="8">
        <v>5.1100000000000003</v>
      </c>
      <c r="E1071" s="4">
        <v>11</v>
      </c>
      <c r="F1071" s="8">
        <v>4.51</v>
      </c>
      <c r="G1071" s="4">
        <v>8</v>
      </c>
      <c r="H1071" s="8">
        <v>7.21</v>
      </c>
      <c r="I1071" s="4">
        <v>0</v>
      </c>
    </row>
    <row r="1072" spans="1:9" x14ac:dyDescent="0.2">
      <c r="A1072" s="2">
        <v>7</v>
      </c>
      <c r="B1072" s="1" t="s">
        <v>81</v>
      </c>
      <c r="C1072" s="4">
        <v>19</v>
      </c>
      <c r="D1072" s="8">
        <v>5.1100000000000003</v>
      </c>
      <c r="E1072" s="4">
        <v>14</v>
      </c>
      <c r="F1072" s="8">
        <v>5.74</v>
      </c>
      <c r="G1072" s="4">
        <v>4</v>
      </c>
      <c r="H1072" s="8">
        <v>3.6</v>
      </c>
      <c r="I1072" s="4">
        <v>1</v>
      </c>
    </row>
    <row r="1073" spans="1:9" x14ac:dyDescent="0.2">
      <c r="A1073" s="2">
        <v>9</v>
      </c>
      <c r="B1073" s="1" t="s">
        <v>75</v>
      </c>
      <c r="C1073" s="4">
        <v>13</v>
      </c>
      <c r="D1073" s="8">
        <v>3.49</v>
      </c>
      <c r="E1073" s="4">
        <v>7</v>
      </c>
      <c r="F1073" s="8">
        <v>2.87</v>
      </c>
      <c r="G1073" s="4">
        <v>6</v>
      </c>
      <c r="H1073" s="8">
        <v>5.41</v>
      </c>
      <c r="I1073" s="4">
        <v>0</v>
      </c>
    </row>
    <row r="1074" spans="1:9" x14ac:dyDescent="0.2">
      <c r="A1074" s="2">
        <v>9</v>
      </c>
      <c r="B1074" s="1" t="s">
        <v>82</v>
      </c>
      <c r="C1074" s="4">
        <v>13</v>
      </c>
      <c r="D1074" s="8">
        <v>3.49</v>
      </c>
      <c r="E1074" s="4">
        <v>6</v>
      </c>
      <c r="F1074" s="8">
        <v>2.46</v>
      </c>
      <c r="G1074" s="4">
        <v>7</v>
      </c>
      <c r="H1074" s="8">
        <v>6.31</v>
      </c>
      <c r="I1074" s="4">
        <v>0</v>
      </c>
    </row>
    <row r="1075" spans="1:9" x14ac:dyDescent="0.2">
      <c r="A1075" s="2">
        <v>11</v>
      </c>
      <c r="B1075" s="1" t="s">
        <v>90</v>
      </c>
      <c r="C1075" s="4">
        <v>12</v>
      </c>
      <c r="D1075" s="8">
        <v>3.23</v>
      </c>
      <c r="E1075" s="4">
        <v>9</v>
      </c>
      <c r="F1075" s="8">
        <v>3.69</v>
      </c>
      <c r="G1075" s="4">
        <v>3</v>
      </c>
      <c r="H1075" s="8">
        <v>2.7</v>
      </c>
      <c r="I1075" s="4">
        <v>0</v>
      </c>
    </row>
    <row r="1076" spans="1:9" x14ac:dyDescent="0.2">
      <c r="A1076" s="2">
        <v>12</v>
      </c>
      <c r="B1076" s="1" t="s">
        <v>87</v>
      </c>
      <c r="C1076" s="4">
        <v>11</v>
      </c>
      <c r="D1076" s="8">
        <v>2.96</v>
      </c>
      <c r="E1076" s="4">
        <v>5</v>
      </c>
      <c r="F1076" s="8">
        <v>2.0499999999999998</v>
      </c>
      <c r="G1076" s="4">
        <v>6</v>
      </c>
      <c r="H1076" s="8">
        <v>5.41</v>
      </c>
      <c r="I1076" s="4">
        <v>0</v>
      </c>
    </row>
    <row r="1077" spans="1:9" x14ac:dyDescent="0.2">
      <c r="A1077" s="2">
        <v>12</v>
      </c>
      <c r="B1077" s="1" t="s">
        <v>92</v>
      </c>
      <c r="C1077" s="4">
        <v>11</v>
      </c>
      <c r="D1077" s="8">
        <v>2.96</v>
      </c>
      <c r="E1077" s="4">
        <v>11</v>
      </c>
      <c r="F1077" s="8">
        <v>4.51</v>
      </c>
      <c r="G1077" s="4">
        <v>0</v>
      </c>
      <c r="H1077" s="8">
        <v>0</v>
      </c>
      <c r="I1077" s="4">
        <v>0</v>
      </c>
    </row>
    <row r="1078" spans="1:9" x14ac:dyDescent="0.2">
      <c r="A1078" s="2">
        <v>14</v>
      </c>
      <c r="B1078" s="1" t="s">
        <v>93</v>
      </c>
      <c r="C1078" s="4">
        <v>8</v>
      </c>
      <c r="D1078" s="8">
        <v>2.15</v>
      </c>
      <c r="E1078" s="4">
        <v>0</v>
      </c>
      <c r="F1078" s="8">
        <v>0</v>
      </c>
      <c r="G1078" s="4">
        <v>7</v>
      </c>
      <c r="H1078" s="8">
        <v>6.31</v>
      </c>
      <c r="I1078" s="4">
        <v>0</v>
      </c>
    </row>
    <row r="1079" spans="1:9" x14ac:dyDescent="0.2">
      <c r="A1079" s="2">
        <v>15</v>
      </c>
      <c r="B1079" s="1" t="s">
        <v>97</v>
      </c>
      <c r="C1079" s="4">
        <v>7</v>
      </c>
      <c r="D1079" s="8">
        <v>1.88</v>
      </c>
      <c r="E1079" s="4">
        <v>0</v>
      </c>
      <c r="F1079" s="8">
        <v>0</v>
      </c>
      <c r="G1079" s="4">
        <v>7</v>
      </c>
      <c r="H1079" s="8">
        <v>6.31</v>
      </c>
      <c r="I1079" s="4">
        <v>0</v>
      </c>
    </row>
    <row r="1080" spans="1:9" x14ac:dyDescent="0.2">
      <c r="A1080" s="2">
        <v>15</v>
      </c>
      <c r="B1080" s="1" t="s">
        <v>80</v>
      </c>
      <c r="C1080" s="4">
        <v>7</v>
      </c>
      <c r="D1080" s="8">
        <v>1.88</v>
      </c>
      <c r="E1080" s="4">
        <v>5</v>
      </c>
      <c r="F1080" s="8">
        <v>2.0499999999999998</v>
      </c>
      <c r="G1080" s="4">
        <v>2</v>
      </c>
      <c r="H1080" s="8">
        <v>1.8</v>
      </c>
      <c r="I1080" s="4">
        <v>0</v>
      </c>
    </row>
    <row r="1081" spans="1:9" x14ac:dyDescent="0.2">
      <c r="A1081" s="2">
        <v>17</v>
      </c>
      <c r="B1081" s="1" t="s">
        <v>84</v>
      </c>
      <c r="C1081" s="4">
        <v>6</v>
      </c>
      <c r="D1081" s="8">
        <v>1.61</v>
      </c>
      <c r="E1081" s="4">
        <v>3</v>
      </c>
      <c r="F1081" s="8">
        <v>1.23</v>
      </c>
      <c r="G1081" s="4">
        <v>3</v>
      </c>
      <c r="H1081" s="8">
        <v>2.7</v>
      </c>
      <c r="I1081" s="4">
        <v>0</v>
      </c>
    </row>
    <row r="1082" spans="1:9" x14ac:dyDescent="0.2">
      <c r="A1082" s="2">
        <v>18</v>
      </c>
      <c r="B1082" s="1" t="s">
        <v>117</v>
      </c>
      <c r="C1082" s="4">
        <v>4</v>
      </c>
      <c r="D1082" s="8">
        <v>1.08</v>
      </c>
      <c r="E1082" s="4">
        <v>3</v>
      </c>
      <c r="F1082" s="8">
        <v>1.23</v>
      </c>
      <c r="G1082" s="4">
        <v>1</v>
      </c>
      <c r="H1082" s="8">
        <v>0.9</v>
      </c>
      <c r="I1082" s="4">
        <v>0</v>
      </c>
    </row>
    <row r="1083" spans="1:9" x14ac:dyDescent="0.2">
      <c r="A1083" s="2">
        <v>18</v>
      </c>
      <c r="B1083" s="1" t="s">
        <v>95</v>
      </c>
      <c r="C1083" s="4">
        <v>4</v>
      </c>
      <c r="D1083" s="8">
        <v>1.08</v>
      </c>
      <c r="E1083" s="4">
        <v>2</v>
      </c>
      <c r="F1083" s="8">
        <v>0.82</v>
      </c>
      <c r="G1083" s="4">
        <v>2</v>
      </c>
      <c r="H1083" s="8">
        <v>1.8</v>
      </c>
      <c r="I1083" s="4">
        <v>0</v>
      </c>
    </row>
    <row r="1084" spans="1:9" x14ac:dyDescent="0.2">
      <c r="A1084" s="2">
        <v>18</v>
      </c>
      <c r="B1084" s="1" t="s">
        <v>79</v>
      </c>
      <c r="C1084" s="4">
        <v>4</v>
      </c>
      <c r="D1084" s="8">
        <v>1.08</v>
      </c>
      <c r="E1084" s="4">
        <v>1</v>
      </c>
      <c r="F1084" s="8">
        <v>0.41</v>
      </c>
      <c r="G1084" s="4">
        <v>3</v>
      </c>
      <c r="H1084" s="8">
        <v>2.7</v>
      </c>
      <c r="I1084" s="4">
        <v>0</v>
      </c>
    </row>
    <row r="1085" spans="1:9" x14ac:dyDescent="0.2">
      <c r="A1085" s="2">
        <v>18</v>
      </c>
      <c r="B1085" s="1" t="s">
        <v>86</v>
      </c>
      <c r="C1085" s="4">
        <v>4</v>
      </c>
      <c r="D1085" s="8">
        <v>1.08</v>
      </c>
      <c r="E1085" s="4">
        <v>4</v>
      </c>
      <c r="F1085" s="8">
        <v>1.64</v>
      </c>
      <c r="G1085" s="4">
        <v>0</v>
      </c>
      <c r="H1085" s="8">
        <v>0</v>
      </c>
      <c r="I1085" s="4">
        <v>0</v>
      </c>
    </row>
    <row r="1086" spans="1:9" x14ac:dyDescent="0.2">
      <c r="A1086" s="1"/>
      <c r="C1086" s="4"/>
      <c r="D1086" s="8"/>
      <c r="E1086" s="4"/>
      <c r="F1086" s="8"/>
      <c r="G1086" s="4"/>
      <c r="H1086" s="8"/>
      <c r="I1086" s="4"/>
    </row>
    <row r="1087" spans="1:9" x14ac:dyDescent="0.2">
      <c r="A1087" s="1" t="s">
        <v>48</v>
      </c>
      <c r="C1087" s="4"/>
      <c r="D1087" s="8"/>
      <c r="E1087" s="4"/>
      <c r="F1087" s="8"/>
      <c r="G1087" s="4"/>
      <c r="H1087" s="8"/>
      <c r="I1087" s="4"/>
    </row>
    <row r="1088" spans="1:9" x14ac:dyDescent="0.2">
      <c r="A1088" s="2">
        <v>1</v>
      </c>
      <c r="B1088" s="1" t="s">
        <v>74</v>
      </c>
      <c r="C1088" s="4">
        <v>70</v>
      </c>
      <c r="D1088" s="8">
        <v>12.24</v>
      </c>
      <c r="E1088" s="4">
        <v>30</v>
      </c>
      <c r="F1088" s="8">
        <v>7.75</v>
      </c>
      <c r="G1088" s="4">
        <v>40</v>
      </c>
      <c r="H1088" s="8">
        <v>22.86</v>
      </c>
      <c r="I1088" s="4">
        <v>0</v>
      </c>
    </row>
    <row r="1089" spans="1:9" x14ac:dyDescent="0.2">
      <c r="A1089" s="2">
        <v>2</v>
      </c>
      <c r="B1089" s="1" t="s">
        <v>89</v>
      </c>
      <c r="C1089" s="4">
        <v>54</v>
      </c>
      <c r="D1089" s="8">
        <v>9.44</v>
      </c>
      <c r="E1089" s="4">
        <v>53</v>
      </c>
      <c r="F1089" s="8">
        <v>13.7</v>
      </c>
      <c r="G1089" s="4">
        <v>1</v>
      </c>
      <c r="H1089" s="8">
        <v>0.56999999999999995</v>
      </c>
      <c r="I1089" s="4">
        <v>0</v>
      </c>
    </row>
    <row r="1090" spans="1:9" x14ac:dyDescent="0.2">
      <c r="A1090" s="2">
        <v>3</v>
      </c>
      <c r="B1090" s="1" t="s">
        <v>88</v>
      </c>
      <c r="C1090" s="4">
        <v>49</v>
      </c>
      <c r="D1090" s="8">
        <v>8.57</v>
      </c>
      <c r="E1090" s="4">
        <v>49</v>
      </c>
      <c r="F1090" s="8">
        <v>12.66</v>
      </c>
      <c r="G1090" s="4">
        <v>0</v>
      </c>
      <c r="H1090" s="8">
        <v>0</v>
      </c>
      <c r="I1090" s="4">
        <v>0</v>
      </c>
    </row>
    <row r="1091" spans="1:9" x14ac:dyDescent="0.2">
      <c r="A1091" s="2">
        <v>4</v>
      </c>
      <c r="B1091" s="1" t="s">
        <v>81</v>
      </c>
      <c r="C1091" s="4">
        <v>43</v>
      </c>
      <c r="D1091" s="8">
        <v>7.52</v>
      </c>
      <c r="E1091" s="4">
        <v>38</v>
      </c>
      <c r="F1091" s="8">
        <v>9.82</v>
      </c>
      <c r="G1091" s="4">
        <v>5</v>
      </c>
      <c r="H1091" s="8">
        <v>2.86</v>
      </c>
      <c r="I1091" s="4">
        <v>0</v>
      </c>
    </row>
    <row r="1092" spans="1:9" x14ac:dyDescent="0.2">
      <c r="A1092" s="2">
        <v>5</v>
      </c>
      <c r="B1092" s="1" t="s">
        <v>83</v>
      </c>
      <c r="C1092" s="4">
        <v>36</v>
      </c>
      <c r="D1092" s="8">
        <v>6.29</v>
      </c>
      <c r="E1092" s="4">
        <v>19</v>
      </c>
      <c r="F1092" s="8">
        <v>4.91</v>
      </c>
      <c r="G1092" s="4">
        <v>17</v>
      </c>
      <c r="H1092" s="8">
        <v>9.7100000000000009</v>
      </c>
      <c r="I1092" s="4">
        <v>0</v>
      </c>
    </row>
    <row r="1093" spans="1:9" x14ac:dyDescent="0.2">
      <c r="A1093" s="2">
        <v>6</v>
      </c>
      <c r="B1093" s="1" t="s">
        <v>75</v>
      </c>
      <c r="C1093" s="4">
        <v>28</v>
      </c>
      <c r="D1093" s="8">
        <v>4.9000000000000004</v>
      </c>
      <c r="E1093" s="4">
        <v>23</v>
      </c>
      <c r="F1093" s="8">
        <v>5.94</v>
      </c>
      <c r="G1093" s="4">
        <v>5</v>
      </c>
      <c r="H1093" s="8">
        <v>2.86</v>
      </c>
      <c r="I1093" s="4">
        <v>0</v>
      </c>
    </row>
    <row r="1094" spans="1:9" x14ac:dyDescent="0.2">
      <c r="A1094" s="2">
        <v>7</v>
      </c>
      <c r="B1094" s="1" t="s">
        <v>82</v>
      </c>
      <c r="C1094" s="4">
        <v>27</v>
      </c>
      <c r="D1094" s="8">
        <v>4.72</v>
      </c>
      <c r="E1094" s="4">
        <v>21</v>
      </c>
      <c r="F1094" s="8">
        <v>5.43</v>
      </c>
      <c r="G1094" s="4">
        <v>6</v>
      </c>
      <c r="H1094" s="8">
        <v>3.43</v>
      </c>
      <c r="I1094" s="4">
        <v>0</v>
      </c>
    </row>
    <row r="1095" spans="1:9" x14ac:dyDescent="0.2">
      <c r="A1095" s="2">
        <v>8</v>
      </c>
      <c r="B1095" s="1" t="s">
        <v>76</v>
      </c>
      <c r="C1095" s="4">
        <v>25</v>
      </c>
      <c r="D1095" s="8">
        <v>4.37</v>
      </c>
      <c r="E1095" s="4">
        <v>17</v>
      </c>
      <c r="F1095" s="8">
        <v>4.3899999999999997</v>
      </c>
      <c r="G1095" s="4">
        <v>8</v>
      </c>
      <c r="H1095" s="8">
        <v>4.57</v>
      </c>
      <c r="I1095" s="4">
        <v>0</v>
      </c>
    </row>
    <row r="1096" spans="1:9" x14ac:dyDescent="0.2">
      <c r="A1096" s="2">
        <v>9</v>
      </c>
      <c r="B1096" s="1" t="s">
        <v>108</v>
      </c>
      <c r="C1096" s="4">
        <v>17</v>
      </c>
      <c r="D1096" s="8">
        <v>2.97</v>
      </c>
      <c r="E1096" s="4">
        <v>10</v>
      </c>
      <c r="F1096" s="8">
        <v>2.58</v>
      </c>
      <c r="G1096" s="4">
        <v>7</v>
      </c>
      <c r="H1096" s="8">
        <v>4</v>
      </c>
      <c r="I1096" s="4">
        <v>0</v>
      </c>
    </row>
    <row r="1097" spans="1:9" x14ac:dyDescent="0.2">
      <c r="A1097" s="2">
        <v>10</v>
      </c>
      <c r="B1097" s="1" t="s">
        <v>87</v>
      </c>
      <c r="C1097" s="4">
        <v>16</v>
      </c>
      <c r="D1097" s="8">
        <v>2.8</v>
      </c>
      <c r="E1097" s="4">
        <v>8</v>
      </c>
      <c r="F1097" s="8">
        <v>2.0699999999999998</v>
      </c>
      <c r="G1097" s="4">
        <v>8</v>
      </c>
      <c r="H1097" s="8">
        <v>4.57</v>
      </c>
      <c r="I1097" s="4">
        <v>0</v>
      </c>
    </row>
    <row r="1098" spans="1:9" x14ac:dyDescent="0.2">
      <c r="A1098" s="2">
        <v>11</v>
      </c>
      <c r="B1098" s="1" t="s">
        <v>91</v>
      </c>
      <c r="C1098" s="4">
        <v>15</v>
      </c>
      <c r="D1098" s="8">
        <v>2.62</v>
      </c>
      <c r="E1098" s="4">
        <v>11</v>
      </c>
      <c r="F1098" s="8">
        <v>2.84</v>
      </c>
      <c r="G1098" s="4">
        <v>3</v>
      </c>
      <c r="H1098" s="8">
        <v>1.71</v>
      </c>
      <c r="I1098" s="4">
        <v>0</v>
      </c>
    </row>
    <row r="1099" spans="1:9" x14ac:dyDescent="0.2">
      <c r="A1099" s="2">
        <v>11</v>
      </c>
      <c r="B1099" s="1" t="s">
        <v>104</v>
      </c>
      <c r="C1099" s="4">
        <v>15</v>
      </c>
      <c r="D1099" s="8">
        <v>2.62</v>
      </c>
      <c r="E1099" s="4">
        <v>13</v>
      </c>
      <c r="F1099" s="8">
        <v>3.36</v>
      </c>
      <c r="G1099" s="4">
        <v>2</v>
      </c>
      <c r="H1099" s="8">
        <v>1.1399999999999999</v>
      </c>
      <c r="I1099" s="4">
        <v>0</v>
      </c>
    </row>
    <row r="1100" spans="1:9" x14ac:dyDescent="0.2">
      <c r="A1100" s="2">
        <v>13</v>
      </c>
      <c r="B1100" s="1" t="s">
        <v>93</v>
      </c>
      <c r="C1100" s="4">
        <v>14</v>
      </c>
      <c r="D1100" s="8">
        <v>2.4500000000000002</v>
      </c>
      <c r="E1100" s="4">
        <v>0</v>
      </c>
      <c r="F1100" s="8">
        <v>0</v>
      </c>
      <c r="G1100" s="4">
        <v>11</v>
      </c>
      <c r="H1100" s="8">
        <v>6.29</v>
      </c>
      <c r="I1100" s="4">
        <v>0</v>
      </c>
    </row>
    <row r="1101" spans="1:9" x14ac:dyDescent="0.2">
      <c r="A1101" s="2">
        <v>14</v>
      </c>
      <c r="B1101" s="1" t="s">
        <v>80</v>
      </c>
      <c r="C1101" s="4">
        <v>12</v>
      </c>
      <c r="D1101" s="8">
        <v>2.1</v>
      </c>
      <c r="E1101" s="4">
        <v>8</v>
      </c>
      <c r="F1101" s="8">
        <v>2.0699999999999998</v>
      </c>
      <c r="G1101" s="4">
        <v>4</v>
      </c>
      <c r="H1101" s="8">
        <v>2.29</v>
      </c>
      <c r="I1101" s="4">
        <v>0</v>
      </c>
    </row>
    <row r="1102" spans="1:9" x14ac:dyDescent="0.2">
      <c r="A1102" s="2">
        <v>15</v>
      </c>
      <c r="B1102" s="1" t="s">
        <v>101</v>
      </c>
      <c r="C1102" s="4">
        <v>10</v>
      </c>
      <c r="D1102" s="8">
        <v>1.75</v>
      </c>
      <c r="E1102" s="4">
        <v>8</v>
      </c>
      <c r="F1102" s="8">
        <v>2.0699999999999998</v>
      </c>
      <c r="G1102" s="4">
        <v>2</v>
      </c>
      <c r="H1102" s="8">
        <v>1.1399999999999999</v>
      </c>
      <c r="I1102" s="4">
        <v>0</v>
      </c>
    </row>
    <row r="1103" spans="1:9" x14ac:dyDescent="0.2">
      <c r="A1103" s="2">
        <v>15</v>
      </c>
      <c r="B1103" s="1" t="s">
        <v>85</v>
      </c>
      <c r="C1103" s="4">
        <v>10</v>
      </c>
      <c r="D1103" s="8">
        <v>1.75</v>
      </c>
      <c r="E1103" s="4">
        <v>3</v>
      </c>
      <c r="F1103" s="8">
        <v>0.78</v>
      </c>
      <c r="G1103" s="4">
        <v>7</v>
      </c>
      <c r="H1103" s="8">
        <v>4</v>
      </c>
      <c r="I1103" s="4">
        <v>0</v>
      </c>
    </row>
    <row r="1104" spans="1:9" x14ac:dyDescent="0.2">
      <c r="A1104" s="2">
        <v>17</v>
      </c>
      <c r="B1104" s="1" t="s">
        <v>79</v>
      </c>
      <c r="C1104" s="4">
        <v>9</v>
      </c>
      <c r="D1104" s="8">
        <v>1.57</v>
      </c>
      <c r="E1104" s="4">
        <v>6</v>
      </c>
      <c r="F1104" s="8">
        <v>1.55</v>
      </c>
      <c r="G1104" s="4">
        <v>3</v>
      </c>
      <c r="H1104" s="8">
        <v>1.71</v>
      </c>
      <c r="I1104" s="4">
        <v>0</v>
      </c>
    </row>
    <row r="1105" spans="1:9" x14ac:dyDescent="0.2">
      <c r="A1105" s="2">
        <v>17</v>
      </c>
      <c r="B1105" s="1" t="s">
        <v>92</v>
      </c>
      <c r="C1105" s="4">
        <v>9</v>
      </c>
      <c r="D1105" s="8">
        <v>1.57</v>
      </c>
      <c r="E1105" s="4">
        <v>8</v>
      </c>
      <c r="F1105" s="8">
        <v>2.0699999999999998</v>
      </c>
      <c r="G1105" s="4">
        <v>1</v>
      </c>
      <c r="H1105" s="8">
        <v>0.56999999999999995</v>
      </c>
      <c r="I1105" s="4">
        <v>0</v>
      </c>
    </row>
    <row r="1106" spans="1:9" x14ac:dyDescent="0.2">
      <c r="A1106" s="2">
        <v>19</v>
      </c>
      <c r="B1106" s="1" t="s">
        <v>102</v>
      </c>
      <c r="C1106" s="4">
        <v>8</v>
      </c>
      <c r="D1106" s="8">
        <v>1.4</v>
      </c>
      <c r="E1106" s="4">
        <v>6</v>
      </c>
      <c r="F1106" s="8">
        <v>1.55</v>
      </c>
      <c r="G1106" s="4">
        <v>2</v>
      </c>
      <c r="H1106" s="8">
        <v>1.1399999999999999</v>
      </c>
      <c r="I1106" s="4">
        <v>0</v>
      </c>
    </row>
    <row r="1107" spans="1:9" x14ac:dyDescent="0.2">
      <c r="A1107" s="2">
        <v>19</v>
      </c>
      <c r="B1107" s="1" t="s">
        <v>86</v>
      </c>
      <c r="C1107" s="4">
        <v>8</v>
      </c>
      <c r="D1107" s="8">
        <v>1.4</v>
      </c>
      <c r="E1107" s="4">
        <v>7</v>
      </c>
      <c r="F1107" s="8">
        <v>1.81</v>
      </c>
      <c r="G1107" s="4">
        <v>1</v>
      </c>
      <c r="H1107" s="8">
        <v>0.56999999999999995</v>
      </c>
      <c r="I1107" s="4">
        <v>0</v>
      </c>
    </row>
    <row r="1108" spans="1:9" x14ac:dyDescent="0.2">
      <c r="A1108" s="2">
        <v>19</v>
      </c>
      <c r="B1108" s="1" t="s">
        <v>105</v>
      </c>
      <c r="C1108" s="4">
        <v>8</v>
      </c>
      <c r="D1108" s="8">
        <v>1.4</v>
      </c>
      <c r="E1108" s="4">
        <v>8</v>
      </c>
      <c r="F1108" s="8">
        <v>2.0699999999999998</v>
      </c>
      <c r="G1108" s="4">
        <v>0</v>
      </c>
      <c r="H1108" s="8">
        <v>0</v>
      </c>
      <c r="I1108" s="4">
        <v>0</v>
      </c>
    </row>
    <row r="1109" spans="1:9" x14ac:dyDescent="0.2">
      <c r="A1109" s="1"/>
      <c r="C1109" s="4"/>
      <c r="D1109" s="8"/>
      <c r="E1109" s="4"/>
      <c r="F1109" s="8"/>
      <c r="G1109" s="4"/>
      <c r="H1109" s="8"/>
      <c r="I1109" s="4"/>
    </row>
    <row r="1110" spans="1:9" x14ac:dyDescent="0.2">
      <c r="A1110" s="1" t="s">
        <v>49</v>
      </c>
      <c r="C1110" s="4"/>
      <c r="D1110" s="8"/>
      <c r="E1110" s="4"/>
      <c r="F1110" s="8"/>
      <c r="G1110" s="4"/>
      <c r="H1110" s="8"/>
      <c r="I1110" s="4"/>
    </row>
    <row r="1111" spans="1:9" x14ac:dyDescent="0.2">
      <c r="A1111" s="2">
        <v>1</v>
      </c>
      <c r="B1111" s="1" t="s">
        <v>105</v>
      </c>
      <c r="C1111" s="4">
        <v>94</v>
      </c>
      <c r="D1111" s="8">
        <v>12.75</v>
      </c>
      <c r="E1111" s="4">
        <v>85</v>
      </c>
      <c r="F1111" s="8">
        <v>15.95</v>
      </c>
      <c r="G1111" s="4">
        <v>9</v>
      </c>
      <c r="H1111" s="8">
        <v>5.49</v>
      </c>
      <c r="I1111" s="4">
        <v>0</v>
      </c>
    </row>
    <row r="1112" spans="1:9" x14ac:dyDescent="0.2">
      <c r="A1112" s="2">
        <v>2</v>
      </c>
      <c r="B1112" s="1" t="s">
        <v>81</v>
      </c>
      <c r="C1112" s="4">
        <v>62</v>
      </c>
      <c r="D1112" s="8">
        <v>8.41</v>
      </c>
      <c r="E1112" s="4">
        <v>50</v>
      </c>
      <c r="F1112" s="8">
        <v>9.3800000000000008</v>
      </c>
      <c r="G1112" s="4">
        <v>12</v>
      </c>
      <c r="H1112" s="8">
        <v>7.32</v>
      </c>
      <c r="I1112" s="4">
        <v>0</v>
      </c>
    </row>
    <row r="1113" spans="1:9" x14ac:dyDescent="0.2">
      <c r="A1113" s="2">
        <v>3</v>
      </c>
      <c r="B1113" s="1" t="s">
        <v>83</v>
      </c>
      <c r="C1113" s="4">
        <v>59</v>
      </c>
      <c r="D1113" s="8">
        <v>8.01</v>
      </c>
      <c r="E1113" s="4">
        <v>46</v>
      </c>
      <c r="F1113" s="8">
        <v>8.6300000000000008</v>
      </c>
      <c r="G1113" s="4">
        <v>13</v>
      </c>
      <c r="H1113" s="8">
        <v>7.93</v>
      </c>
      <c r="I1113" s="4">
        <v>0</v>
      </c>
    </row>
    <row r="1114" spans="1:9" x14ac:dyDescent="0.2">
      <c r="A1114" s="2">
        <v>4</v>
      </c>
      <c r="B1114" s="1" t="s">
        <v>74</v>
      </c>
      <c r="C1114" s="4">
        <v>57</v>
      </c>
      <c r="D1114" s="8">
        <v>7.73</v>
      </c>
      <c r="E1114" s="4">
        <v>38</v>
      </c>
      <c r="F1114" s="8">
        <v>7.13</v>
      </c>
      <c r="G1114" s="4">
        <v>19</v>
      </c>
      <c r="H1114" s="8">
        <v>11.59</v>
      </c>
      <c r="I1114" s="4">
        <v>0</v>
      </c>
    </row>
    <row r="1115" spans="1:9" x14ac:dyDescent="0.2">
      <c r="A1115" s="2">
        <v>5</v>
      </c>
      <c r="B1115" s="1" t="s">
        <v>89</v>
      </c>
      <c r="C1115" s="4">
        <v>54</v>
      </c>
      <c r="D1115" s="8">
        <v>7.33</v>
      </c>
      <c r="E1115" s="4">
        <v>52</v>
      </c>
      <c r="F1115" s="8">
        <v>9.76</v>
      </c>
      <c r="G1115" s="4">
        <v>2</v>
      </c>
      <c r="H1115" s="8">
        <v>1.22</v>
      </c>
      <c r="I1115" s="4">
        <v>0</v>
      </c>
    </row>
    <row r="1116" spans="1:9" x14ac:dyDescent="0.2">
      <c r="A1116" s="2">
        <v>6</v>
      </c>
      <c r="B1116" s="1" t="s">
        <v>108</v>
      </c>
      <c r="C1116" s="4">
        <v>48</v>
      </c>
      <c r="D1116" s="8">
        <v>6.51</v>
      </c>
      <c r="E1116" s="4">
        <v>20</v>
      </c>
      <c r="F1116" s="8">
        <v>3.75</v>
      </c>
      <c r="G1116" s="4">
        <v>27</v>
      </c>
      <c r="H1116" s="8">
        <v>16.46</v>
      </c>
      <c r="I1116" s="4">
        <v>1</v>
      </c>
    </row>
    <row r="1117" spans="1:9" x14ac:dyDescent="0.2">
      <c r="A1117" s="2">
        <v>7</v>
      </c>
      <c r="B1117" s="1" t="s">
        <v>88</v>
      </c>
      <c r="C1117" s="4">
        <v>44</v>
      </c>
      <c r="D1117" s="8">
        <v>5.97</v>
      </c>
      <c r="E1117" s="4">
        <v>42</v>
      </c>
      <c r="F1117" s="8">
        <v>7.88</v>
      </c>
      <c r="G1117" s="4">
        <v>2</v>
      </c>
      <c r="H1117" s="8">
        <v>1.22</v>
      </c>
      <c r="I1117" s="4">
        <v>0</v>
      </c>
    </row>
    <row r="1118" spans="1:9" x14ac:dyDescent="0.2">
      <c r="A1118" s="2">
        <v>8</v>
      </c>
      <c r="B1118" s="1" t="s">
        <v>91</v>
      </c>
      <c r="C1118" s="4">
        <v>38</v>
      </c>
      <c r="D1118" s="8">
        <v>5.16</v>
      </c>
      <c r="E1118" s="4">
        <v>23</v>
      </c>
      <c r="F1118" s="8">
        <v>4.32</v>
      </c>
      <c r="G1118" s="4">
        <v>1</v>
      </c>
      <c r="H1118" s="8">
        <v>0.61</v>
      </c>
      <c r="I1118" s="4">
        <v>1</v>
      </c>
    </row>
    <row r="1119" spans="1:9" x14ac:dyDescent="0.2">
      <c r="A1119" s="2">
        <v>9</v>
      </c>
      <c r="B1119" s="1" t="s">
        <v>75</v>
      </c>
      <c r="C1119" s="4">
        <v>36</v>
      </c>
      <c r="D1119" s="8">
        <v>4.88</v>
      </c>
      <c r="E1119" s="4">
        <v>34</v>
      </c>
      <c r="F1119" s="8">
        <v>6.38</v>
      </c>
      <c r="G1119" s="4">
        <v>2</v>
      </c>
      <c r="H1119" s="8">
        <v>1.22</v>
      </c>
      <c r="I1119" s="4">
        <v>0</v>
      </c>
    </row>
    <row r="1120" spans="1:9" x14ac:dyDescent="0.2">
      <c r="A1120" s="2">
        <v>10</v>
      </c>
      <c r="B1120" s="1" t="s">
        <v>76</v>
      </c>
      <c r="C1120" s="4">
        <v>25</v>
      </c>
      <c r="D1120" s="8">
        <v>3.39</v>
      </c>
      <c r="E1120" s="4">
        <v>23</v>
      </c>
      <c r="F1120" s="8">
        <v>4.32</v>
      </c>
      <c r="G1120" s="4">
        <v>2</v>
      </c>
      <c r="H1120" s="8">
        <v>1.22</v>
      </c>
      <c r="I1120" s="4">
        <v>0</v>
      </c>
    </row>
    <row r="1121" spans="1:9" x14ac:dyDescent="0.2">
      <c r="A1121" s="2">
        <v>11</v>
      </c>
      <c r="B1121" s="1" t="s">
        <v>82</v>
      </c>
      <c r="C1121" s="4">
        <v>24</v>
      </c>
      <c r="D1121" s="8">
        <v>3.26</v>
      </c>
      <c r="E1121" s="4">
        <v>17</v>
      </c>
      <c r="F1121" s="8">
        <v>3.19</v>
      </c>
      <c r="G1121" s="4">
        <v>7</v>
      </c>
      <c r="H1121" s="8">
        <v>4.2699999999999996</v>
      </c>
      <c r="I1121" s="4">
        <v>0</v>
      </c>
    </row>
    <row r="1122" spans="1:9" x14ac:dyDescent="0.2">
      <c r="A1122" s="2">
        <v>12</v>
      </c>
      <c r="B1122" s="1" t="s">
        <v>93</v>
      </c>
      <c r="C1122" s="4">
        <v>21</v>
      </c>
      <c r="D1122" s="8">
        <v>2.85</v>
      </c>
      <c r="E1122" s="4">
        <v>0</v>
      </c>
      <c r="F1122" s="8">
        <v>0</v>
      </c>
      <c r="G1122" s="4">
        <v>6</v>
      </c>
      <c r="H1122" s="8">
        <v>3.66</v>
      </c>
      <c r="I1122" s="4">
        <v>0</v>
      </c>
    </row>
    <row r="1123" spans="1:9" x14ac:dyDescent="0.2">
      <c r="A1123" s="2">
        <v>13</v>
      </c>
      <c r="B1123" s="1" t="s">
        <v>92</v>
      </c>
      <c r="C1123" s="4">
        <v>17</v>
      </c>
      <c r="D1123" s="8">
        <v>2.31</v>
      </c>
      <c r="E1123" s="4">
        <v>17</v>
      </c>
      <c r="F1123" s="8">
        <v>3.19</v>
      </c>
      <c r="G1123" s="4">
        <v>0</v>
      </c>
      <c r="H1123" s="8">
        <v>0</v>
      </c>
      <c r="I1123" s="4">
        <v>0</v>
      </c>
    </row>
    <row r="1124" spans="1:9" x14ac:dyDescent="0.2">
      <c r="A1124" s="2">
        <v>14</v>
      </c>
      <c r="B1124" s="1" t="s">
        <v>80</v>
      </c>
      <c r="C1124" s="4">
        <v>16</v>
      </c>
      <c r="D1124" s="8">
        <v>2.17</v>
      </c>
      <c r="E1124" s="4">
        <v>15</v>
      </c>
      <c r="F1124" s="8">
        <v>2.81</v>
      </c>
      <c r="G1124" s="4">
        <v>1</v>
      </c>
      <c r="H1124" s="8">
        <v>0.61</v>
      </c>
      <c r="I1124" s="4">
        <v>0</v>
      </c>
    </row>
    <row r="1125" spans="1:9" x14ac:dyDescent="0.2">
      <c r="A1125" s="2">
        <v>15</v>
      </c>
      <c r="B1125" s="1" t="s">
        <v>85</v>
      </c>
      <c r="C1125" s="4">
        <v>13</v>
      </c>
      <c r="D1125" s="8">
        <v>1.76</v>
      </c>
      <c r="E1125" s="4">
        <v>3</v>
      </c>
      <c r="F1125" s="8">
        <v>0.56000000000000005</v>
      </c>
      <c r="G1125" s="4">
        <v>9</v>
      </c>
      <c r="H1125" s="8">
        <v>5.49</v>
      </c>
      <c r="I1125" s="4">
        <v>1</v>
      </c>
    </row>
    <row r="1126" spans="1:9" x14ac:dyDescent="0.2">
      <c r="A1126" s="2">
        <v>15</v>
      </c>
      <c r="B1126" s="1" t="s">
        <v>87</v>
      </c>
      <c r="C1126" s="4">
        <v>13</v>
      </c>
      <c r="D1126" s="8">
        <v>1.76</v>
      </c>
      <c r="E1126" s="4">
        <v>12</v>
      </c>
      <c r="F1126" s="8">
        <v>2.25</v>
      </c>
      <c r="G1126" s="4">
        <v>0</v>
      </c>
      <c r="H1126" s="8">
        <v>0</v>
      </c>
      <c r="I1126" s="4">
        <v>0</v>
      </c>
    </row>
    <row r="1127" spans="1:9" x14ac:dyDescent="0.2">
      <c r="A1127" s="2">
        <v>17</v>
      </c>
      <c r="B1127" s="1" t="s">
        <v>95</v>
      </c>
      <c r="C1127" s="4">
        <v>10</v>
      </c>
      <c r="D1127" s="8">
        <v>1.36</v>
      </c>
      <c r="E1127" s="4">
        <v>7</v>
      </c>
      <c r="F1127" s="8">
        <v>1.31</v>
      </c>
      <c r="G1127" s="4">
        <v>3</v>
      </c>
      <c r="H1127" s="8">
        <v>1.83</v>
      </c>
      <c r="I1127" s="4">
        <v>0</v>
      </c>
    </row>
    <row r="1128" spans="1:9" x14ac:dyDescent="0.2">
      <c r="A1128" s="2">
        <v>18</v>
      </c>
      <c r="B1128" s="1" t="s">
        <v>86</v>
      </c>
      <c r="C1128" s="4">
        <v>7</v>
      </c>
      <c r="D1128" s="8">
        <v>0.95</v>
      </c>
      <c r="E1128" s="4">
        <v>5</v>
      </c>
      <c r="F1128" s="8">
        <v>0.94</v>
      </c>
      <c r="G1128" s="4">
        <v>2</v>
      </c>
      <c r="H1128" s="8">
        <v>1.22</v>
      </c>
      <c r="I1128" s="4">
        <v>0</v>
      </c>
    </row>
    <row r="1129" spans="1:9" x14ac:dyDescent="0.2">
      <c r="A1129" s="2">
        <v>19</v>
      </c>
      <c r="B1129" s="1" t="s">
        <v>107</v>
      </c>
      <c r="C1129" s="4">
        <v>6</v>
      </c>
      <c r="D1129" s="8">
        <v>0.81</v>
      </c>
      <c r="E1129" s="4">
        <v>2</v>
      </c>
      <c r="F1129" s="8">
        <v>0.38</v>
      </c>
      <c r="G1129" s="4">
        <v>1</v>
      </c>
      <c r="H1129" s="8">
        <v>0.61</v>
      </c>
      <c r="I1129" s="4">
        <v>1</v>
      </c>
    </row>
    <row r="1130" spans="1:9" x14ac:dyDescent="0.2">
      <c r="A1130" s="2">
        <v>19</v>
      </c>
      <c r="B1130" s="1" t="s">
        <v>104</v>
      </c>
      <c r="C1130" s="4">
        <v>6</v>
      </c>
      <c r="D1130" s="8">
        <v>0.81</v>
      </c>
      <c r="E1130" s="4">
        <v>5</v>
      </c>
      <c r="F1130" s="8">
        <v>0.94</v>
      </c>
      <c r="G1130" s="4">
        <v>1</v>
      </c>
      <c r="H1130" s="8">
        <v>0.61</v>
      </c>
      <c r="I1130" s="4">
        <v>0</v>
      </c>
    </row>
    <row r="1131" spans="1:9" x14ac:dyDescent="0.2">
      <c r="A1131" s="1"/>
      <c r="C1131" s="4"/>
      <c r="D1131" s="8"/>
      <c r="E1131" s="4"/>
      <c r="F1131" s="8"/>
      <c r="G1131" s="4"/>
      <c r="H1131" s="8"/>
      <c r="I1131" s="4"/>
    </row>
    <row r="1132" spans="1:9" x14ac:dyDescent="0.2">
      <c r="A1132" s="1" t="s">
        <v>50</v>
      </c>
      <c r="C1132" s="4"/>
      <c r="D1132" s="8"/>
      <c r="E1132" s="4"/>
      <c r="F1132" s="8"/>
      <c r="G1132" s="4"/>
      <c r="H1132" s="8"/>
      <c r="I1132" s="4"/>
    </row>
    <row r="1133" spans="1:9" x14ac:dyDescent="0.2">
      <c r="A1133" s="2">
        <v>1</v>
      </c>
      <c r="B1133" s="1" t="s">
        <v>88</v>
      </c>
      <c r="C1133" s="4">
        <v>47</v>
      </c>
      <c r="D1133" s="8">
        <v>11.3</v>
      </c>
      <c r="E1133" s="4">
        <v>44</v>
      </c>
      <c r="F1133" s="8">
        <v>15.55</v>
      </c>
      <c r="G1133" s="4">
        <v>3</v>
      </c>
      <c r="H1133" s="8">
        <v>2.56</v>
      </c>
      <c r="I1133" s="4">
        <v>0</v>
      </c>
    </row>
    <row r="1134" spans="1:9" x14ac:dyDescent="0.2">
      <c r="A1134" s="2">
        <v>2</v>
      </c>
      <c r="B1134" s="1" t="s">
        <v>74</v>
      </c>
      <c r="C1134" s="4">
        <v>45</v>
      </c>
      <c r="D1134" s="8">
        <v>10.82</v>
      </c>
      <c r="E1134" s="4">
        <v>13</v>
      </c>
      <c r="F1134" s="8">
        <v>4.59</v>
      </c>
      <c r="G1134" s="4">
        <v>32</v>
      </c>
      <c r="H1134" s="8">
        <v>27.35</v>
      </c>
      <c r="I1134" s="4">
        <v>0</v>
      </c>
    </row>
    <row r="1135" spans="1:9" x14ac:dyDescent="0.2">
      <c r="A1135" s="2">
        <v>3</v>
      </c>
      <c r="B1135" s="1" t="s">
        <v>89</v>
      </c>
      <c r="C1135" s="4">
        <v>43</v>
      </c>
      <c r="D1135" s="8">
        <v>10.34</v>
      </c>
      <c r="E1135" s="4">
        <v>42</v>
      </c>
      <c r="F1135" s="8">
        <v>14.84</v>
      </c>
      <c r="G1135" s="4">
        <v>1</v>
      </c>
      <c r="H1135" s="8">
        <v>0.85</v>
      </c>
      <c r="I1135" s="4">
        <v>0</v>
      </c>
    </row>
    <row r="1136" spans="1:9" x14ac:dyDescent="0.2">
      <c r="A1136" s="2">
        <v>4</v>
      </c>
      <c r="B1136" s="1" t="s">
        <v>83</v>
      </c>
      <c r="C1136" s="4">
        <v>35</v>
      </c>
      <c r="D1136" s="8">
        <v>8.41</v>
      </c>
      <c r="E1136" s="4">
        <v>22</v>
      </c>
      <c r="F1136" s="8">
        <v>7.77</v>
      </c>
      <c r="G1136" s="4">
        <v>13</v>
      </c>
      <c r="H1136" s="8">
        <v>11.11</v>
      </c>
      <c r="I1136" s="4">
        <v>0</v>
      </c>
    </row>
    <row r="1137" spans="1:9" x14ac:dyDescent="0.2">
      <c r="A1137" s="2">
        <v>5</v>
      </c>
      <c r="B1137" s="1" t="s">
        <v>81</v>
      </c>
      <c r="C1137" s="4">
        <v>29</v>
      </c>
      <c r="D1137" s="8">
        <v>6.97</v>
      </c>
      <c r="E1137" s="4">
        <v>25</v>
      </c>
      <c r="F1137" s="8">
        <v>8.83</v>
      </c>
      <c r="G1137" s="4">
        <v>4</v>
      </c>
      <c r="H1137" s="8">
        <v>3.42</v>
      </c>
      <c r="I1137" s="4">
        <v>0</v>
      </c>
    </row>
    <row r="1138" spans="1:9" x14ac:dyDescent="0.2">
      <c r="A1138" s="2">
        <v>6</v>
      </c>
      <c r="B1138" s="1" t="s">
        <v>75</v>
      </c>
      <c r="C1138" s="4">
        <v>22</v>
      </c>
      <c r="D1138" s="8">
        <v>5.29</v>
      </c>
      <c r="E1138" s="4">
        <v>15</v>
      </c>
      <c r="F1138" s="8">
        <v>5.3</v>
      </c>
      <c r="G1138" s="4">
        <v>7</v>
      </c>
      <c r="H1138" s="8">
        <v>5.98</v>
      </c>
      <c r="I1138" s="4">
        <v>0</v>
      </c>
    </row>
    <row r="1139" spans="1:9" x14ac:dyDescent="0.2">
      <c r="A1139" s="2">
        <v>7</v>
      </c>
      <c r="B1139" s="1" t="s">
        <v>105</v>
      </c>
      <c r="C1139" s="4">
        <v>21</v>
      </c>
      <c r="D1139" s="8">
        <v>5.05</v>
      </c>
      <c r="E1139" s="4">
        <v>16</v>
      </c>
      <c r="F1139" s="8">
        <v>5.65</v>
      </c>
      <c r="G1139" s="4">
        <v>4</v>
      </c>
      <c r="H1139" s="8">
        <v>3.42</v>
      </c>
      <c r="I1139" s="4">
        <v>0</v>
      </c>
    </row>
    <row r="1140" spans="1:9" x14ac:dyDescent="0.2">
      <c r="A1140" s="2">
        <v>8</v>
      </c>
      <c r="B1140" s="1" t="s">
        <v>82</v>
      </c>
      <c r="C1140" s="4">
        <v>19</v>
      </c>
      <c r="D1140" s="8">
        <v>4.57</v>
      </c>
      <c r="E1140" s="4">
        <v>13</v>
      </c>
      <c r="F1140" s="8">
        <v>4.59</v>
      </c>
      <c r="G1140" s="4">
        <v>6</v>
      </c>
      <c r="H1140" s="8">
        <v>5.13</v>
      </c>
      <c r="I1140" s="4">
        <v>0</v>
      </c>
    </row>
    <row r="1141" spans="1:9" x14ac:dyDescent="0.2">
      <c r="A1141" s="2">
        <v>9</v>
      </c>
      <c r="B1141" s="1" t="s">
        <v>76</v>
      </c>
      <c r="C1141" s="4">
        <v>13</v>
      </c>
      <c r="D1141" s="8">
        <v>3.13</v>
      </c>
      <c r="E1141" s="4">
        <v>6</v>
      </c>
      <c r="F1141" s="8">
        <v>2.12</v>
      </c>
      <c r="G1141" s="4">
        <v>7</v>
      </c>
      <c r="H1141" s="8">
        <v>5.98</v>
      </c>
      <c r="I1141" s="4">
        <v>0</v>
      </c>
    </row>
    <row r="1142" spans="1:9" x14ac:dyDescent="0.2">
      <c r="A1142" s="2">
        <v>10</v>
      </c>
      <c r="B1142" s="1" t="s">
        <v>85</v>
      </c>
      <c r="C1142" s="4">
        <v>12</v>
      </c>
      <c r="D1142" s="8">
        <v>2.88</v>
      </c>
      <c r="E1142" s="4">
        <v>9</v>
      </c>
      <c r="F1142" s="8">
        <v>3.18</v>
      </c>
      <c r="G1142" s="4">
        <v>3</v>
      </c>
      <c r="H1142" s="8">
        <v>2.56</v>
      </c>
      <c r="I1142" s="4">
        <v>0</v>
      </c>
    </row>
    <row r="1143" spans="1:9" x14ac:dyDescent="0.2">
      <c r="A1143" s="2">
        <v>10</v>
      </c>
      <c r="B1143" s="1" t="s">
        <v>92</v>
      </c>
      <c r="C1143" s="4">
        <v>12</v>
      </c>
      <c r="D1143" s="8">
        <v>2.88</v>
      </c>
      <c r="E1143" s="4">
        <v>10</v>
      </c>
      <c r="F1143" s="8">
        <v>3.53</v>
      </c>
      <c r="G1143" s="4">
        <v>2</v>
      </c>
      <c r="H1143" s="8">
        <v>1.71</v>
      </c>
      <c r="I1143" s="4">
        <v>0</v>
      </c>
    </row>
    <row r="1144" spans="1:9" x14ac:dyDescent="0.2">
      <c r="A1144" s="2">
        <v>12</v>
      </c>
      <c r="B1144" s="1" t="s">
        <v>108</v>
      </c>
      <c r="C1144" s="4">
        <v>10</v>
      </c>
      <c r="D1144" s="8">
        <v>2.4</v>
      </c>
      <c r="E1144" s="4">
        <v>8</v>
      </c>
      <c r="F1144" s="8">
        <v>2.83</v>
      </c>
      <c r="G1144" s="4">
        <v>2</v>
      </c>
      <c r="H1144" s="8">
        <v>1.71</v>
      </c>
      <c r="I1144" s="4">
        <v>0</v>
      </c>
    </row>
    <row r="1145" spans="1:9" x14ac:dyDescent="0.2">
      <c r="A1145" s="2">
        <v>12</v>
      </c>
      <c r="B1145" s="1" t="s">
        <v>91</v>
      </c>
      <c r="C1145" s="4">
        <v>10</v>
      </c>
      <c r="D1145" s="8">
        <v>2.4</v>
      </c>
      <c r="E1145" s="4">
        <v>5</v>
      </c>
      <c r="F1145" s="8">
        <v>1.77</v>
      </c>
      <c r="G1145" s="4">
        <v>2</v>
      </c>
      <c r="H1145" s="8">
        <v>1.71</v>
      </c>
      <c r="I1145" s="4">
        <v>1</v>
      </c>
    </row>
    <row r="1146" spans="1:9" x14ac:dyDescent="0.2">
      <c r="A1146" s="2">
        <v>12</v>
      </c>
      <c r="B1146" s="1" t="s">
        <v>93</v>
      </c>
      <c r="C1146" s="4">
        <v>10</v>
      </c>
      <c r="D1146" s="8">
        <v>2.4</v>
      </c>
      <c r="E1146" s="4">
        <v>0</v>
      </c>
      <c r="F1146" s="8">
        <v>0</v>
      </c>
      <c r="G1146" s="4">
        <v>4</v>
      </c>
      <c r="H1146" s="8">
        <v>3.42</v>
      </c>
      <c r="I1146" s="4">
        <v>0</v>
      </c>
    </row>
    <row r="1147" spans="1:9" x14ac:dyDescent="0.2">
      <c r="A1147" s="2">
        <v>15</v>
      </c>
      <c r="B1147" s="1" t="s">
        <v>95</v>
      </c>
      <c r="C1147" s="4">
        <v>9</v>
      </c>
      <c r="D1147" s="8">
        <v>2.16</v>
      </c>
      <c r="E1147" s="4">
        <v>3</v>
      </c>
      <c r="F1147" s="8">
        <v>1.06</v>
      </c>
      <c r="G1147" s="4">
        <v>6</v>
      </c>
      <c r="H1147" s="8">
        <v>5.13</v>
      </c>
      <c r="I1147" s="4">
        <v>0</v>
      </c>
    </row>
    <row r="1148" spans="1:9" x14ac:dyDescent="0.2">
      <c r="A1148" s="2">
        <v>16</v>
      </c>
      <c r="B1148" s="1" t="s">
        <v>86</v>
      </c>
      <c r="C1148" s="4">
        <v>7</v>
      </c>
      <c r="D1148" s="8">
        <v>1.68</v>
      </c>
      <c r="E1148" s="4">
        <v>7</v>
      </c>
      <c r="F1148" s="8">
        <v>2.4700000000000002</v>
      </c>
      <c r="G1148" s="4">
        <v>0</v>
      </c>
      <c r="H1148" s="8">
        <v>0</v>
      </c>
      <c r="I1148" s="4">
        <v>0</v>
      </c>
    </row>
    <row r="1149" spans="1:9" x14ac:dyDescent="0.2">
      <c r="A1149" s="2">
        <v>16</v>
      </c>
      <c r="B1149" s="1" t="s">
        <v>87</v>
      </c>
      <c r="C1149" s="4">
        <v>7</v>
      </c>
      <c r="D1149" s="8">
        <v>1.68</v>
      </c>
      <c r="E1149" s="4">
        <v>6</v>
      </c>
      <c r="F1149" s="8">
        <v>2.12</v>
      </c>
      <c r="G1149" s="4">
        <v>1</v>
      </c>
      <c r="H1149" s="8">
        <v>0.85</v>
      </c>
      <c r="I1149" s="4">
        <v>0</v>
      </c>
    </row>
    <row r="1150" spans="1:9" x14ac:dyDescent="0.2">
      <c r="A1150" s="2">
        <v>16</v>
      </c>
      <c r="B1150" s="1" t="s">
        <v>104</v>
      </c>
      <c r="C1150" s="4">
        <v>7</v>
      </c>
      <c r="D1150" s="8">
        <v>1.68</v>
      </c>
      <c r="E1150" s="4">
        <v>7</v>
      </c>
      <c r="F1150" s="8">
        <v>2.4700000000000002</v>
      </c>
      <c r="G1150" s="4">
        <v>0</v>
      </c>
      <c r="H1150" s="8">
        <v>0</v>
      </c>
      <c r="I1150" s="4">
        <v>0</v>
      </c>
    </row>
    <row r="1151" spans="1:9" x14ac:dyDescent="0.2">
      <c r="A1151" s="2">
        <v>19</v>
      </c>
      <c r="B1151" s="1" t="s">
        <v>80</v>
      </c>
      <c r="C1151" s="4">
        <v>6</v>
      </c>
      <c r="D1151" s="8">
        <v>1.44</v>
      </c>
      <c r="E1151" s="4">
        <v>5</v>
      </c>
      <c r="F1151" s="8">
        <v>1.77</v>
      </c>
      <c r="G1151" s="4">
        <v>1</v>
      </c>
      <c r="H1151" s="8">
        <v>0.85</v>
      </c>
      <c r="I1151" s="4">
        <v>0</v>
      </c>
    </row>
    <row r="1152" spans="1:9" x14ac:dyDescent="0.2">
      <c r="A1152" s="2">
        <v>20</v>
      </c>
      <c r="B1152" s="1" t="s">
        <v>101</v>
      </c>
      <c r="C1152" s="4">
        <v>5</v>
      </c>
      <c r="D1152" s="8">
        <v>1.2</v>
      </c>
      <c r="E1152" s="4">
        <v>2</v>
      </c>
      <c r="F1152" s="8">
        <v>0.71</v>
      </c>
      <c r="G1152" s="4">
        <v>3</v>
      </c>
      <c r="H1152" s="8">
        <v>2.56</v>
      </c>
      <c r="I1152" s="4">
        <v>0</v>
      </c>
    </row>
    <row r="1153" spans="1:9" x14ac:dyDescent="0.2">
      <c r="A1153" s="2">
        <v>20</v>
      </c>
      <c r="B1153" s="1" t="s">
        <v>107</v>
      </c>
      <c r="C1153" s="4">
        <v>5</v>
      </c>
      <c r="D1153" s="8">
        <v>1.2</v>
      </c>
      <c r="E1153" s="4">
        <v>3</v>
      </c>
      <c r="F1153" s="8">
        <v>1.06</v>
      </c>
      <c r="G1153" s="4">
        <v>0</v>
      </c>
      <c r="H1153" s="8">
        <v>0</v>
      </c>
      <c r="I1153" s="4">
        <v>1</v>
      </c>
    </row>
    <row r="1154" spans="1:9" x14ac:dyDescent="0.2">
      <c r="A1154" s="1"/>
      <c r="C1154" s="4"/>
      <c r="D1154" s="8"/>
      <c r="E1154" s="4"/>
      <c r="F1154" s="8"/>
      <c r="G1154" s="4"/>
      <c r="H1154" s="8"/>
      <c r="I115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A89E-F1F9-477F-8779-FCF06709D20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243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1</v>
      </c>
      <c r="D5" s="8">
        <v>0.06</v>
      </c>
      <c r="E5" s="12">
        <v>1</v>
      </c>
      <c r="F5" s="8">
        <v>0.1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267</v>
      </c>
      <c r="D6" s="8">
        <v>15.4</v>
      </c>
      <c r="E6" s="12">
        <v>63</v>
      </c>
      <c r="F6" s="8">
        <v>6.41</v>
      </c>
      <c r="G6" s="12">
        <v>204</v>
      </c>
      <c r="H6" s="8">
        <v>27.49</v>
      </c>
      <c r="I6" s="12">
        <v>0</v>
      </c>
    </row>
    <row r="7" spans="2:9" ht="15" customHeight="1" x14ac:dyDescent="0.2">
      <c r="B7" t="s">
        <v>53</v>
      </c>
      <c r="C7" s="12">
        <v>123</v>
      </c>
      <c r="D7" s="8">
        <v>7.09</v>
      </c>
      <c r="E7" s="12">
        <v>40</v>
      </c>
      <c r="F7" s="8">
        <v>4.07</v>
      </c>
      <c r="G7" s="12">
        <v>83</v>
      </c>
      <c r="H7" s="8">
        <v>11.19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8</v>
      </c>
      <c r="D9" s="8">
        <v>0.46</v>
      </c>
      <c r="E9" s="12">
        <v>0</v>
      </c>
      <c r="F9" s="8">
        <v>0</v>
      </c>
      <c r="G9" s="12">
        <v>8</v>
      </c>
      <c r="H9" s="8">
        <v>1.08</v>
      </c>
      <c r="I9" s="12">
        <v>0</v>
      </c>
    </row>
    <row r="10" spans="2:9" ht="15" customHeight="1" x14ac:dyDescent="0.2">
      <c r="B10" t="s">
        <v>56</v>
      </c>
      <c r="C10" s="12">
        <v>19</v>
      </c>
      <c r="D10" s="8">
        <v>1.1000000000000001</v>
      </c>
      <c r="E10" s="12">
        <v>3</v>
      </c>
      <c r="F10" s="8">
        <v>0.31</v>
      </c>
      <c r="G10" s="12">
        <v>16</v>
      </c>
      <c r="H10" s="8">
        <v>2.16</v>
      </c>
      <c r="I10" s="12">
        <v>0</v>
      </c>
    </row>
    <row r="11" spans="2:9" ht="15" customHeight="1" x14ac:dyDescent="0.2">
      <c r="B11" t="s">
        <v>57</v>
      </c>
      <c r="C11" s="12">
        <v>344</v>
      </c>
      <c r="D11" s="8">
        <v>19.84</v>
      </c>
      <c r="E11" s="12">
        <v>194</v>
      </c>
      <c r="F11" s="8">
        <v>19.739999999999998</v>
      </c>
      <c r="G11" s="12">
        <v>150</v>
      </c>
      <c r="H11" s="8">
        <v>20.22</v>
      </c>
      <c r="I11" s="12">
        <v>0</v>
      </c>
    </row>
    <row r="12" spans="2:9" ht="15" customHeight="1" x14ac:dyDescent="0.2">
      <c r="B12" t="s">
        <v>58</v>
      </c>
      <c r="C12" s="12">
        <v>13</v>
      </c>
      <c r="D12" s="8">
        <v>0.75</v>
      </c>
      <c r="E12" s="12">
        <v>4</v>
      </c>
      <c r="F12" s="8">
        <v>0.41</v>
      </c>
      <c r="G12" s="12">
        <v>9</v>
      </c>
      <c r="H12" s="8">
        <v>1.21</v>
      </c>
      <c r="I12" s="12">
        <v>0</v>
      </c>
    </row>
    <row r="13" spans="2:9" ht="15" customHeight="1" x14ac:dyDescent="0.2">
      <c r="B13" t="s">
        <v>59</v>
      </c>
      <c r="C13" s="12">
        <v>144</v>
      </c>
      <c r="D13" s="8">
        <v>8.3000000000000007</v>
      </c>
      <c r="E13" s="12">
        <v>56</v>
      </c>
      <c r="F13" s="8">
        <v>5.7</v>
      </c>
      <c r="G13" s="12">
        <v>88</v>
      </c>
      <c r="H13" s="8">
        <v>11.86</v>
      </c>
      <c r="I13" s="12">
        <v>0</v>
      </c>
    </row>
    <row r="14" spans="2:9" ht="15" customHeight="1" x14ac:dyDescent="0.2">
      <c r="B14" t="s">
        <v>60</v>
      </c>
      <c r="C14" s="12">
        <v>88</v>
      </c>
      <c r="D14" s="8">
        <v>5.07</v>
      </c>
      <c r="E14" s="12">
        <v>49</v>
      </c>
      <c r="F14" s="8">
        <v>4.9800000000000004</v>
      </c>
      <c r="G14" s="12">
        <v>39</v>
      </c>
      <c r="H14" s="8">
        <v>5.26</v>
      </c>
      <c r="I14" s="12">
        <v>0</v>
      </c>
    </row>
    <row r="15" spans="2:9" ht="15" customHeight="1" x14ac:dyDescent="0.2">
      <c r="B15" t="s">
        <v>61</v>
      </c>
      <c r="C15" s="12">
        <v>277</v>
      </c>
      <c r="D15" s="8">
        <v>15.97</v>
      </c>
      <c r="E15" s="12">
        <v>247</v>
      </c>
      <c r="F15" s="8">
        <v>25.13</v>
      </c>
      <c r="G15" s="12">
        <v>29</v>
      </c>
      <c r="H15" s="8">
        <v>3.91</v>
      </c>
      <c r="I15" s="12">
        <v>0</v>
      </c>
    </row>
    <row r="16" spans="2:9" ht="15" customHeight="1" x14ac:dyDescent="0.2">
      <c r="B16" t="s">
        <v>62</v>
      </c>
      <c r="C16" s="12">
        <v>225</v>
      </c>
      <c r="D16" s="8">
        <v>12.98</v>
      </c>
      <c r="E16" s="12">
        <v>192</v>
      </c>
      <c r="F16" s="8">
        <v>19.53</v>
      </c>
      <c r="G16" s="12">
        <v>33</v>
      </c>
      <c r="H16" s="8">
        <v>4.45</v>
      </c>
      <c r="I16" s="12">
        <v>0</v>
      </c>
    </row>
    <row r="17" spans="2:9" ht="15" customHeight="1" x14ac:dyDescent="0.2">
      <c r="B17" t="s">
        <v>63</v>
      </c>
      <c r="C17" s="12">
        <v>102</v>
      </c>
      <c r="D17" s="8">
        <v>5.88</v>
      </c>
      <c r="E17" s="12">
        <v>75</v>
      </c>
      <c r="F17" s="8">
        <v>7.63</v>
      </c>
      <c r="G17" s="12">
        <v>20</v>
      </c>
      <c r="H17" s="8">
        <v>2.7</v>
      </c>
      <c r="I17" s="12">
        <v>0</v>
      </c>
    </row>
    <row r="18" spans="2:9" ht="15" customHeight="1" x14ac:dyDescent="0.2">
      <c r="B18" t="s">
        <v>64</v>
      </c>
      <c r="C18" s="12">
        <v>61</v>
      </c>
      <c r="D18" s="8">
        <v>3.52</v>
      </c>
      <c r="E18" s="12">
        <v>40</v>
      </c>
      <c r="F18" s="8">
        <v>4.07</v>
      </c>
      <c r="G18" s="12">
        <v>20</v>
      </c>
      <c r="H18" s="8">
        <v>2.7</v>
      </c>
      <c r="I18" s="12">
        <v>0</v>
      </c>
    </row>
    <row r="19" spans="2:9" ht="15" customHeight="1" x14ac:dyDescent="0.2">
      <c r="B19" t="s">
        <v>65</v>
      </c>
      <c r="C19" s="12">
        <v>62</v>
      </c>
      <c r="D19" s="8">
        <v>3.58</v>
      </c>
      <c r="E19" s="12">
        <v>19</v>
      </c>
      <c r="F19" s="8">
        <v>1.93</v>
      </c>
      <c r="G19" s="12">
        <v>43</v>
      </c>
      <c r="H19" s="8">
        <v>5.8</v>
      </c>
      <c r="I19" s="12">
        <v>0</v>
      </c>
    </row>
    <row r="20" spans="2:9" ht="15" customHeight="1" x14ac:dyDescent="0.2">
      <c r="B20" s="9" t="s">
        <v>215</v>
      </c>
      <c r="C20" s="12">
        <f>SUM(LTBL_28216[総数／事業所数])</f>
        <v>1734</v>
      </c>
      <c r="E20" s="12">
        <f>SUBTOTAL(109,LTBL_28216[個人／事業所数])</f>
        <v>983</v>
      </c>
      <c r="G20" s="12">
        <f>SUBTOTAL(109,LTBL_28216[法人／事業所数])</f>
        <v>742</v>
      </c>
      <c r="I20" s="12">
        <f>SUBTOTAL(109,LTBL_28216[法人以外の団体／事業所数])</f>
        <v>0</v>
      </c>
    </row>
    <row r="21" spans="2:9" ht="15" customHeight="1" x14ac:dyDescent="0.2">
      <c r="E21" s="11">
        <f>LTBL_28216[[#Totals],[個人／事業所数]]/LTBL_28216[[#Totals],[総数／事業所数]]</f>
        <v>0.56689734717416373</v>
      </c>
      <c r="G21" s="11">
        <f>LTBL_28216[[#Totals],[法人／事業所数]]/LTBL_28216[[#Totals],[総数／事業所数]]</f>
        <v>0.42791234140715112</v>
      </c>
      <c r="I21" s="11">
        <f>LTBL_28216[[#Totals],[法人以外の団体／事業所数]]/LTBL_28216[[#Totals],[総数／事業所数]]</f>
        <v>0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254</v>
      </c>
      <c r="D24" s="8">
        <v>14.65</v>
      </c>
      <c r="E24" s="12">
        <v>243</v>
      </c>
      <c r="F24" s="8">
        <v>24.72</v>
      </c>
      <c r="G24" s="12">
        <v>11</v>
      </c>
      <c r="H24" s="8">
        <v>1.48</v>
      </c>
      <c r="I24" s="12">
        <v>0</v>
      </c>
    </row>
    <row r="25" spans="2:9" ht="15" customHeight="1" x14ac:dyDescent="0.2">
      <c r="B25" t="s">
        <v>89</v>
      </c>
      <c r="C25" s="12">
        <v>188</v>
      </c>
      <c r="D25" s="8">
        <v>10.84</v>
      </c>
      <c r="E25" s="12">
        <v>167</v>
      </c>
      <c r="F25" s="8">
        <v>16.989999999999998</v>
      </c>
      <c r="G25" s="12">
        <v>21</v>
      </c>
      <c r="H25" s="8">
        <v>2.83</v>
      </c>
      <c r="I25" s="12">
        <v>0</v>
      </c>
    </row>
    <row r="26" spans="2:9" ht="15" customHeight="1" x14ac:dyDescent="0.2">
      <c r="B26" t="s">
        <v>85</v>
      </c>
      <c r="C26" s="12">
        <v>109</v>
      </c>
      <c r="D26" s="8">
        <v>6.29</v>
      </c>
      <c r="E26" s="12">
        <v>46</v>
      </c>
      <c r="F26" s="8">
        <v>4.68</v>
      </c>
      <c r="G26" s="12">
        <v>63</v>
      </c>
      <c r="H26" s="8">
        <v>8.49</v>
      </c>
      <c r="I26" s="12">
        <v>0</v>
      </c>
    </row>
    <row r="27" spans="2:9" ht="15" customHeight="1" x14ac:dyDescent="0.2">
      <c r="B27" t="s">
        <v>74</v>
      </c>
      <c r="C27" s="12">
        <v>103</v>
      </c>
      <c r="D27" s="8">
        <v>5.94</v>
      </c>
      <c r="E27" s="12">
        <v>19</v>
      </c>
      <c r="F27" s="8">
        <v>1.93</v>
      </c>
      <c r="G27" s="12">
        <v>84</v>
      </c>
      <c r="H27" s="8">
        <v>11.32</v>
      </c>
      <c r="I27" s="12">
        <v>0</v>
      </c>
    </row>
    <row r="28" spans="2:9" ht="15" customHeight="1" x14ac:dyDescent="0.2">
      <c r="B28" t="s">
        <v>91</v>
      </c>
      <c r="C28" s="12">
        <v>102</v>
      </c>
      <c r="D28" s="8">
        <v>5.88</v>
      </c>
      <c r="E28" s="12">
        <v>75</v>
      </c>
      <c r="F28" s="8">
        <v>7.63</v>
      </c>
      <c r="G28" s="12">
        <v>20</v>
      </c>
      <c r="H28" s="8">
        <v>2.7</v>
      </c>
      <c r="I28" s="12">
        <v>0</v>
      </c>
    </row>
    <row r="29" spans="2:9" ht="15" customHeight="1" x14ac:dyDescent="0.2">
      <c r="B29" t="s">
        <v>83</v>
      </c>
      <c r="C29" s="12">
        <v>101</v>
      </c>
      <c r="D29" s="8">
        <v>5.82</v>
      </c>
      <c r="E29" s="12">
        <v>52</v>
      </c>
      <c r="F29" s="8">
        <v>5.29</v>
      </c>
      <c r="G29" s="12">
        <v>49</v>
      </c>
      <c r="H29" s="8">
        <v>6.6</v>
      </c>
      <c r="I29" s="12">
        <v>0</v>
      </c>
    </row>
    <row r="30" spans="2:9" ht="15" customHeight="1" x14ac:dyDescent="0.2">
      <c r="B30" t="s">
        <v>76</v>
      </c>
      <c r="C30" s="12">
        <v>99</v>
      </c>
      <c r="D30" s="8">
        <v>5.71</v>
      </c>
      <c r="E30" s="12">
        <v>20</v>
      </c>
      <c r="F30" s="8">
        <v>2.0299999999999998</v>
      </c>
      <c r="G30" s="12">
        <v>79</v>
      </c>
      <c r="H30" s="8">
        <v>10.65</v>
      </c>
      <c r="I30" s="12">
        <v>0</v>
      </c>
    </row>
    <row r="31" spans="2:9" ht="15" customHeight="1" x14ac:dyDescent="0.2">
      <c r="B31" t="s">
        <v>81</v>
      </c>
      <c r="C31" s="12">
        <v>82</v>
      </c>
      <c r="D31" s="8">
        <v>4.7300000000000004</v>
      </c>
      <c r="E31" s="12">
        <v>64</v>
      </c>
      <c r="F31" s="8">
        <v>6.51</v>
      </c>
      <c r="G31" s="12">
        <v>18</v>
      </c>
      <c r="H31" s="8">
        <v>2.4300000000000002</v>
      </c>
      <c r="I31" s="12">
        <v>0</v>
      </c>
    </row>
    <row r="32" spans="2:9" ht="15" customHeight="1" x14ac:dyDescent="0.2">
      <c r="B32" t="s">
        <v>75</v>
      </c>
      <c r="C32" s="12">
        <v>65</v>
      </c>
      <c r="D32" s="8">
        <v>3.75</v>
      </c>
      <c r="E32" s="12">
        <v>24</v>
      </c>
      <c r="F32" s="8">
        <v>2.44</v>
      </c>
      <c r="G32" s="12">
        <v>41</v>
      </c>
      <c r="H32" s="8">
        <v>5.53</v>
      </c>
      <c r="I32" s="12">
        <v>0</v>
      </c>
    </row>
    <row r="33" spans="2:9" ht="15" customHeight="1" x14ac:dyDescent="0.2">
      <c r="B33" t="s">
        <v>86</v>
      </c>
      <c r="C33" s="12">
        <v>47</v>
      </c>
      <c r="D33" s="8">
        <v>2.71</v>
      </c>
      <c r="E33" s="12">
        <v>36</v>
      </c>
      <c r="F33" s="8">
        <v>3.66</v>
      </c>
      <c r="G33" s="12">
        <v>11</v>
      </c>
      <c r="H33" s="8">
        <v>1.48</v>
      </c>
      <c r="I33" s="12">
        <v>0</v>
      </c>
    </row>
    <row r="34" spans="2:9" ht="15" customHeight="1" x14ac:dyDescent="0.2">
      <c r="B34" t="s">
        <v>82</v>
      </c>
      <c r="C34" s="12">
        <v>46</v>
      </c>
      <c r="D34" s="8">
        <v>2.65</v>
      </c>
      <c r="E34" s="12">
        <v>32</v>
      </c>
      <c r="F34" s="8">
        <v>3.26</v>
      </c>
      <c r="G34" s="12">
        <v>14</v>
      </c>
      <c r="H34" s="8">
        <v>1.89</v>
      </c>
      <c r="I34" s="12">
        <v>0</v>
      </c>
    </row>
    <row r="35" spans="2:9" ht="15" customHeight="1" x14ac:dyDescent="0.2">
      <c r="B35" t="s">
        <v>92</v>
      </c>
      <c r="C35" s="12">
        <v>44</v>
      </c>
      <c r="D35" s="8">
        <v>2.54</v>
      </c>
      <c r="E35" s="12">
        <v>40</v>
      </c>
      <c r="F35" s="8">
        <v>4.07</v>
      </c>
      <c r="G35" s="12">
        <v>4</v>
      </c>
      <c r="H35" s="8">
        <v>0.54</v>
      </c>
      <c r="I35" s="12">
        <v>0</v>
      </c>
    </row>
    <row r="36" spans="2:9" ht="15" customHeight="1" x14ac:dyDescent="0.2">
      <c r="B36" t="s">
        <v>80</v>
      </c>
      <c r="C36" s="12">
        <v>40</v>
      </c>
      <c r="D36" s="8">
        <v>2.31</v>
      </c>
      <c r="E36" s="12">
        <v>29</v>
      </c>
      <c r="F36" s="8">
        <v>2.95</v>
      </c>
      <c r="G36" s="12">
        <v>11</v>
      </c>
      <c r="H36" s="8">
        <v>1.48</v>
      </c>
      <c r="I36" s="12">
        <v>0</v>
      </c>
    </row>
    <row r="37" spans="2:9" ht="15" customHeight="1" x14ac:dyDescent="0.2">
      <c r="B37" t="s">
        <v>87</v>
      </c>
      <c r="C37" s="12">
        <v>38</v>
      </c>
      <c r="D37" s="8">
        <v>2.19</v>
      </c>
      <c r="E37" s="12">
        <v>13</v>
      </c>
      <c r="F37" s="8">
        <v>1.32</v>
      </c>
      <c r="G37" s="12">
        <v>25</v>
      </c>
      <c r="H37" s="8">
        <v>3.37</v>
      </c>
      <c r="I37" s="12">
        <v>0</v>
      </c>
    </row>
    <row r="38" spans="2:9" ht="15" customHeight="1" x14ac:dyDescent="0.2">
      <c r="B38" t="s">
        <v>90</v>
      </c>
      <c r="C38" s="12">
        <v>28</v>
      </c>
      <c r="D38" s="8">
        <v>1.61</v>
      </c>
      <c r="E38" s="12">
        <v>20</v>
      </c>
      <c r="F38" s="8">
        <v>2.0299999999999998</v>
      </c>
      <c r="G38" s="12">
        <v>8</v>
      </c>
      <c r="H38" s="8">
        <v>1.08</v>
      </c>
      <c r="I38" s="12">
        <v>0</v>
      </c>
    </row>
    <row r="39" spans="2:9" ht="15" customHeight="1" x14ac:dyDescent="0.2">
      <c r="B39" t="s">
        <v>84</v>
      </c>
      <c r="C39" s="12">
        <v>27</v>
      </c>
      <c r="D39" s="8">
        <v>1.56</v>
      </c>
      <c r="E39" s="12">
        <v>10</v>
      </c>
      <c r="F39" s="8">
        <v>1.02</v>
      </c>
      <c r="G39" s="12">
        <v>17</v>
      </c>
      <c r="H39" s="8">
        <v>2.29</v>
      </c>
      <c r="I39" s="12">
        <v>0</v>
      </c>
    </row>
    <row r="40" spans="2:9" ht="15" customHeight="1" x14ac:dyDescent="0.2">
      <c r="B40" t="s">
        <v>97</v>
      </c>
      <c r="C40" s="12">
        <v>22</v>
      </c>
      <c r="D40" s="8">
        <v>1.27</v>
      </c>
      <c r="E40" s="12">
        <v>8</v>
      </c>
      <c r="F40" s="8">
        <v>0.81</v>
      </c>
      <c r="G40" s="12">
        <v>14</v>
      </c>
      <c r="H40" s="8">
        <v>1.89</v>
      </c>
      <c r="I40" s="12">
        <v>0</v>
      </c>
    </row>
    <row r="41" spans="2:9" ht="15" customHeight="1" x14ac:dyDescent="0.2">
      <c r="B41" t="s">
        <v>77</v>
      </c>
      <c r="C41" s="12">
        <v>21</v>
      </c>
      <c r="D41" s="8">
        <v>1.21</v>
      </c>
      <c r="E41" s="12">
        <v>6</v>
      </c>
      <c r="F41" s="8">
        <v>0.61</v>
      </c>
      <c r="G41" s="12">
        <v>15</v>
      </c>
      <c r="H41" s="8">
        <v>2.02</v>
      </c>
      <c r="I41" s="12">
        <v>0</v>
      </c>
    </row>
    <row r="42" spans="2:9" ht="15" customHeight="1" x14ac:dyDescent="0.2">
      <c r="B42" t="s">
        <v>106</v>
      </c>
      <c r="C42" s="12">
        <v>19</v>
      </c>
      <c r="D42" s="8">
        <v>1.1000000000000001</v>
      </c>
      <c r="E42" s="12">
        <v>4</v>
      </c>
      <c r="F42" s="8">
        <v>0.41</v>
      </c>
      <c r="G42" s="12">
        <v>14</v>
      </c>
      <c r="H42" s="8">
        <v>1.89</v>
      </c>
      <c r="I42" s="12">
        <v>0</v>
      </c>
    </row>
    <row r="43" spans="2:9" ht="15" customHeight="1" x14ac:dyDescent="0.2">
      <c r="B43" t="s">
        <v>104</v>
      </c>
      <c r="C43" s="12">
        <v>19</v>
      </c>
      <c r="D43" s="8">
        <v>1.1000000000000001</v>
      </c>
      <c r="E43" s="12">
        <v>12</v>
      </c>
      <c r="F43" s="8">
        <v>1.22</v>
      </c>
      <c r="G43" s="12">
        <v>7</v>
      </c>
      <c r="H43" s="8">
        <v>0.94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100</v>
      </c>
      <c r="D47" s="8">
        <v>5.77</v>
      </c>
      <c r="E47" s="12">
        <v>92</v>
      </c>
      <c r="F47" s="8">
        <v>9.36</v>
      </c>
      <c r="G47" s="12">
        <v>8</v>
      </c>
      <c r="H47" s="8">
        <v>1.08</v>
      </c>
      <c r="I47" s="12">
        <v>0</v>
      </c>
    </row>
    <row r="48" spans="2:9" ht="15" customHeight="1" x14ac:dyDescent="0.2">
      <c r="B48" t="s">
        <v>136</v>
      </c>
      <c r="C48" s="12">
        <v>70</v>
      </c>
      <c r="D48" s="8">
        <v>4.04</v>
      </c>
      <c r="E48" s="12">
        <v>69</v>
      </c>
      <c r="F48" s="8">
        <v>7.02</v>
      </c>
      <c r="G48" s="12">
        <v>1</v>
      </c>
      <c r="H48" s="8">
        <v>0.13</v>
      </c>
      <c r="I48" s="12">
        <v>0</v>
      </c>
    </row>
    <row r="49" spans="2:9" ht="15" customHeight="1" x14ac:dyDescent="0.2">
      <c r="B49" t="s">
        <v>140</v>
      </c>
      <c r="C49" s="12">
        <v>57</v>
      </c>
      <c r="D49" s="8">
        <v>3.29</v>
      </c>
      <c r="E49" s="12">
        <v>46</v>
      </c>
      <c r="F49" s="8">
        <v>4.68</v>
      </c>
      <c r="G49" s="12">
        <v>11</v>
      </c>
      <c r="H49" s="8">
        <v>1.48</v>
      </c>
      <c r="I49" s="12">
        <v>0</v>
      </c>
    </row>
    <row r="50" spans="2:9" ht="15" customHeight="1" x14ac:dyDescent="0.2">
      <c r="B50" t="s">
        <v>137</v>
      </c>
      <c r="C50" s="12">
        <v>56</v>
      </c>
      <c r="D50" s="8">
        <v>3.23</v>
      </c>
      <c r="E50" s="12">
        <v>55</v>
      </c>
      <c r="F50" s="8">
        <v>5.6</v>
      </c>
      <c r="G50" s="12">
        <v>1</v>
      </c>
      <c r="H50" s="8">
        <v>0.13</v>
      </c>
      <c r="I50" s="12">
        <v>0</v>
      </c>
    </row>
    <row r="51" spans="2:9" ht="15" customHeight="1" x14ac:dyDescent="0.2">
      <c r="B51" t="s">
        <v>134</v>
      </c>
      <c r="C51" s="12">
        <v>51</v>
      </c>
      <c r="D51" s="8">
        <v>2.94</v>
      </c>
      <c r="E51" s="12">
        <v>49</v>
      </c>
      <c r="F51" s="8">
        <v>4.9800000000000004</v>
      </c>
      <c r="G51" s="12">
        <v>2</v>
      </c>
      <c r="H51" s="8">
        <v>0.27</v>
      </c>
      <c r="I51" s="12">
        <v>0</v>
      </c>
    </row>
    <row r="52" spans="2:9" ht="15" customHeight="1" x14ac:dyDescent="0.2">
      <c r="B52" t="s">
        <v>132</v>
      </c>
      <c r="C52" s="12">
        <v>48</v>
      </c>
      <c r="D52" s="8">
        <v>2.77</v>
      </c>
      <c r="E52" s="12">
        <v>20</v>
      </c>
      <c r="F52" s="8">
        <v>2.0299999999999998</v>
      </c>
      <c r="G52" s="12">
        <v>28</v>
      </c>
      <c r="H52" s="8">
        <v>3.77</v>
      </c>
      <c r="I52" s="12">
        <v>0</v>
      </c>
    </row>
    <row r="53" spans="2:9" ht="15" customHeight="1" x14ac:dyDescent="0.2">
      <c r="B53" t="s">
        <v>122</v>
      </c>
      <c r="C53" s="12">
        <v>47</v>
      </c>
      <c r="D53" s="8">
        <v>2.71</v>
      </c>
      <c r="E53" s="12">
        <v>6</v>
      </c>
      <c r="F53" s="8">
        <v>0.61</v>
      </c>
      <c r="G53" s="12">
        <v>41</v>
      </c>
      <c r="H53" s="8">
        <v>5.53</v>
      </c>
      <c r="I53" s="12">
        <v>0</v>
      </c>
    </row>
    <row r="54" spans="2:9" ht="15" customHeight="1" x14ac:dyDescent="0.2">
      <c r="B54" t="s">
        <v>135</v>
      </c>
      <c r="C54" s="12">
        <v>47</v>
      </c>
      <c r="D54" s="8">
        <v>2.71</v>
      </c>
      <c r="E54" s="12">
        <v>47</v>
      </c>
      <c r="F54" s="8">
        <v>4.78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159</v>
      </c>
      <c r="C55" s="12">
        <v>41</v>
      </c>
      <c r="D55" s="8">
        <v>2.36</v>
      </c>
      <c r="E55" s="12">
        <v>11</v>
      </c>
      <c r="F55" s="8">
        <v>1.1200000000000001</v>
      </c>
      <c r="G55" s="12">
        <v>30</v>
      </c>
      <c r="H55" s="8">
        <v>4.04</v>
      </c>
      <c r="I55" s="12">
        <v>0</v>
      </c>
    </row>
    <row r="56" spans="2:9" ht="15" customHeight="1" x14ac:dyDescent="0.2">
      <c r="B56" t="s">
        <v>133</v>
      </c>
      <c r="C56" s="12">
        <v>39</v>
      </c>
      <c r="D56" s="8">
        <v>2.25</v>
      </c>
      <c r="E56" s="12">
        <v>34</v>
      </c>
      <c r="F56" s="8">
        <v>3.46</v>
      </c>
      <c r="G56" s="12">
        <v>5</v>
      </c>
      <c r="H56" s="8">
        <v>0.67</v>
      </c>
      <c r="I56" s="12">
        <v>0</v>
      </c>
    </row>
    <row r="57" spans="2:9" ht="15" customHeight="1" x14ac:dyDescent="0.2">
      <c r="B57" t="s">
        <v>141</v>
      </c>
      <c r="C57" s="12">
        <v>37</v>
      </c>
      <c r="D57" s="8">
        <v>2.13</v>
      </c>
      <c r="E57" s="12">
        <v>33</v>
      </c>
      <c r="F57" s="8">
        <v>3.36</v>
      </c>
      <c r="G57" s="12">
        <v>4</v>
      </c>
      <c r="H57" s="8">
        <v>0.54</v>
      </c>
      <c r="I57" s="12">
        <v>0</v>
      </c>
    </row>
    <row r="58" spans="2:9" ht="15" customHeight="1" x14ac:dyDescent="0.2">
      <c r="B58" t="s">
        <v>139</v>
      </c>
      <c r="C58" s="12">
        <v>35</v>
      </c>
      <c r="D58" s="8">
        <v>2.02</v>
      </c>
      <c r="E58" s="12">
        <v>29</v>
      </c>
      <c r="F58" s="8">
        <v>2.95</v>
      </c>
      <c r="G58" s="12">
        <v>6</v>
      </c>
      <c r="H58" s="8">
        <v>0.81</v>
      </c>
      <c r="I58" s="12">
        <v>0</v>
      </c>
    </row>
    <row r="59" spans="2:9" ht="15" customHeight="1" x14ac:dyDescent="0.2">
      <c r="B59" t="s">
        <v>128</v>
      </c>
      <c r="C59" s="12">
        <v>33</v>
      </c>
      <c r="D59" s="8">
        <v>1.9</v>
      </c>
      <c r="E59" s="12">
        <v>12</v>
      </c>
      <c r="F59" s="8">
        <v>1.22</v>
      </c>
      <c r="G59" s="12">
        <v>21</v>
      </c>
      <c r="H59" s="8">
        <v>2.83</v>
      </c>
      <c r="I59" s="12">
        <v>0</v>
      </c>
    </row>
    <row r="60" spans="2:9" ht="15" customHeight="1" x14ac:dyDescent="0.2">
      <c r="B60" t="s">
        <v>124</v>
      </c>
      <c r="C60" s="12">
        <v>30</v>
      </c>
      <c r="D60" s="8">
        <v>1.73</v>
      </c>
      <c r="E60" s="12">
        <v>8</v>
      </c>
      <c r="F60" s="8">
        <v>0.81</v>
      </c>
      <c r="G60" s="12">
        <v>22</v>
      </c>
      <c r="H60" s="8">
        <v>2.96</v>
      </c>
      <c r="I60" s="12">
        <v>0</v>
      </c>
    </row>
    <row r="61" spans="2:9" ht="15" customHeight="1" x14ac:dyDescent="0.2">
      <c r="B61" t="s">
        <v>129</v>
      </c>
      <c r="C61" s="12">
        <v>28</v>
      </c>
      <c r="D61" s="8">
        <v>1.61</v>
      </c>
      <c r="E61" s="12">
        <v>22</v>
      </c>
      <c r="F61" s="8">
        <v>2.2400000000000002</v>
      </c>
      <c r="G61" s="12">
        <v>6</v>
      </c>
      <c r="H61" s="8">
        <v>0.81</v>
      </c>
      <c r="I61" s="12">
        <v>0</v>
      </c>
    </row>
    <row r="62" spans="2:9" ht="15" customHeight="1" x14ac:dyDescent="0.2">
      <c r="B62" t="s">
        <v>126</v>
      </c>
      <c r="C62" s="12">
        <v>26</v>
      </c>
      <c r="D62" s="8">
        <v>1.5</v>
      </c>
      <c r="E62" s="12">
        <v>19</v>
      </c>
      <c r="F62" s="8">
        <v>1.93</v>
      </c>
      <c r="G62" s="12">
        <v>7</v>
      </c>
      <c r="H62" s="8">
        <v>0.94</v>
      </c>
      <c r="I62" s="12">
        <v>0</v>
      </c>
    </row>
    <row r="63" spans="2:9" ht="15" customHeight="1" x14ac:dyDescent="0.2">
      <c r="B63" t="s">
        <v>131</v>
      </c>
      <c r="C63" s="12">
        <v>26</v>
      </c>
      <c r="D63" s="8">
        <v>1.5</v>
      </c>
      <c r="E63" s="12">
        <v>4</v>
      </c>
      <c r="F63" s="8">
        <v>0.41</v>
      </c>
      <c r="G63" s="12">
        <v>22</v>
      </c>
      <c r="H63" s="8">
        <v>2.96</v>
      </c>
      <c r="I63" s="12">
        <v>0</v>
      </c>
    </row>
    <row r="64" spans="2:9" ht="15" customHeight="1" x14ac:dyDescent="0.2">
      <c r="B64" t="s">
        <v>127</v>
      </c>
      <c r="C64" s="12">
        <v>25</v>
      </c>
      <c r="D64" s="8">
        <v>1.44</v>
      </c>
      <c r="E64" s="12">
        <v>17</v>
      </c>
      <c r="F64" s="8">
        <v>1.73</v>
      </c>
      <c r="G64" s="12">
        <v>8</v>
      </c>
      <c r="H64" s="8">
        <v>1.08</v>
      </c>
      <c r="I64" s="12">
        <v>0</v>
      </c>
    </row>
    <row r="65" spans="2:9" ht="15" customHeight="1" x14ac:dyDescent="0.2">
      <c r="B65" t="s">
        <v>142</v>
      </c>
      <c r="C65" s="12">
        <v>25</v>
      </c>
      <c r="D65" s="8">
        <v>1.44</v>
      </c>
      <c r="E65" s="12">
        <v>22</v>
      </c>
      <c r="F65" s="8">
        <v>2.2400000000000002</v>
      </c>
      <c r="G65" s="12">
        <v>3</v>
      </c>
      <c r="H65" s="8">
        <v>0.4</v>
      </c>
      <c r="I65" s="12">
        <v>0</v>
      </c>
    </row>
    <row r="66" spans="2:9" ht="15" customHeight="1" x14ac:dyDescent="0.2">
      <c r="B66" t="s">
        <v>145</v>
      </c>
      <c r="C66" s="12">
        <v>25</v>
      </c>
      <c r="D66" s="8">
        <v>1.44</v>
      </c>
      <c r="E66" s="12">
        <v>25</v>
      </c>
      <c r="F66" s="8">
        <v>2.54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0423-49E6-4411-A889-3A63F3B2B5C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244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247</v>
      </c>
      <c r="D6" s="8">
        <v>11.39</v>
      </c>
      <c r="E6" s="12">
        <v>53</v>
      </c>
      <c r="F6" s="8">
        <v>5.09</v>
      </c>
      <c r="G6" s="12">
        <v>194</v>
      </c>
      <c r="H6" s="8">
        <v>17.399999999999999</v>
      </c>
      <c r="I6" s="12">
        <v>0</v>
      </c>
    </row>
    <row r="7" spans="2:9" ht="15" customHeight="1" x14ac:dyDescent="0.2">
      <c r="B7" t="s">
        <v>53</v>
      </c>
      <c r="C7" s="12">
        <v>155</v>
      </c>
      <c r="D7" s="8">
        <v>7.15</v>
      </c>
      <c r="E7" s="12">
        <v>44</v>
      </c>
      <c r="F7" s="8">
        <v>4.2300000000000004</v>
      </c>
      <c r="G7" s="12">
        <v>111</v>
      </c>
      <c r="H7" s="8">
        <v>9.9600000000000009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0.09</v>
      </c>
      <c r="I8" s="12">
        <v>0</v>
      </c>
    </row>
    <row r="9" spans="2:9" ht="15" customHeight="1" x14ac:dyDescent="0.2">
      <c r="B9" t="s">
        <v>55</v>
      </c>
      <c r="C9" s="12">
        <v>23</v>
      </c>
      <c r="D9" s="8">
        <v>1.06</v>
      </c>
      <c r="E9" s="12">
        <v>3</v>
      </c>
      <c r="F9" s="8">
        <v>0.28999999999999998</v>
      </c>
      <c r="G9" s="12">
        <v>20</v>
      </c>
      <c r="H9" s="8">
        <v>1.79</v>
      </c>
      <c r="I9" s="12">
        <v>0</v>
      </c>
    </row>
    <row r="10" spans="2:9" ht="15" customHeight="1" x14ac:dyDescent="0.2">
      <c r="B10" t="s">
        <v>56</v>
      </c>
      <c r="C10" s="12">
        <v>11</v>
      </c>
      <c r="D10" s="8">
        <v>0.51</v>
      </c>
      <c r="E10" s="12">
        <v>2</v>
      </c>
      <c r="F10" s="8">
        <v>0.19</v>
      </c>
      <c r="G10" s="12">
        <v>9</v>
      </c>
      <c r="H10" s="8">
        <v>0.81</v>
      </c>
      <c r="I10" s="12">
        <v>0</v>
      </c>
    </row>
    <row r="11" spans="2:9" ht="15" customHeight="1" x14ac:dyDescent="0.2">
      <c r="B11" t="s">
        <v>57</v>
      </c>
      <c r="C11" s="12">
        <v>491</v>
      </c>
      <c r="D11" s="8">
        <v>22.64</v>
      </c>
      <c r="E11" s="12">
        <v>228</v>
      </c>
      <c r="F11" s="8">
        <v>21.9</v>
      </c>
      <c r="G11" s="12">
        <v>261</v>
      </c>
      <c r="H11" s="8">
        <v>23.41</v>
      </c>
      <c r="I11" s="12">
        <v>2</v>
      </c>
    </row>
    <row r="12" spans="2:9" ht="15" customHeight="1" x14ac:dyDescent="0.2">
      <c r="B12" t="s">
        <v>58</v>
      </c>
      <c r="C12" s="12">
        <v>12</v>
      </c>
      <c r="D12" s="8">
        <v>0.55000000000000004</v>
      </c>
      <c r="E12" s="12">
        <v>3</v>
      </c>
      <c r="F12" s="8">
        <v>0.28999999999999998</v>
      </c>
      <c r="G12" s="12">
        <v>9</v>
      </c>
      <c r="H12" s="8">
        <v>0.81</v>
      </c>
      <c r="I12" s="12">
        <v>0</v>
      </c>
    </row>
    <row r="13" spans="2:9" ht="15" customHeight="1" x14ac:dyDescent="0.2">
      <c r="B13" t="s">
        <v>59</v>
      </c>
      <c r="C13" s="12">
        <v>271</v>
      </c>
      <c r="D13" s="8">
        <v>12.49</v>
      </c>
      <c r="E13" s="12">
        <v>71</v>
      </c>
      <c r="F13" s="8">
        <v>6.82</v>
      </c>
      <c r="G13" s="12">
        <v>199</v>
      </c>
      <c r="H13" s="8">
        <v>17.850000000000001</v>
      </c>
      <c r="I13" s="12">
        <v>1</v>
      </c>
    </row>
    <row r="14" spans="2:9" ht="15" customHeight="1" x14ac:dyDescent="0.2">
      <c r="B14" t="s">
        <v>60</v>
      </c>
      <c r="C14" s="12">
        <v>120</v>
      </c>
      <c r="D14" s="8">
        <v>5.53</v>
      </c>
      <c r="E14" s="12">
        <v>57</v>
      </c>
      <c r="F14" s="8">
        <v>5.48</v>
      </c>
      <c r="G14" s="12">
        <v>63</v>
      </c>
      <c r="H14" s="8">
        <v>5.65</v>
      </c>
      <c r="I14" s="12">
        <v>0</v>
      </c>
    </row>
    <row r="15" spans="2:9" ht="15" customHeight="1" x14ac:dyDescent="0.2">
      <c r="B15" t="s">
        <v>61</v>
      </c>
      <c r="C15" s="12">
        <v>241</v>
      </c>
      <c r="D15" s="8">
        <v>11.11</v>
      </c>
      <c r="E15" s="12">
        <v>199</v>
      </c>
      <c r="F15" s="8">
        <v>19.12</v>
      </c>
      <c r="G15" s="12">
        <v>42</v>
      </c>
      <c r="H15" s="8">
        <v>3.77</v>
      </c>
      <c r="I15" s="12">
        <v>0</v>
      </c>
    </row>
    <row r="16" spans="2:9" ht="15" customHeight="1" x14ac:dyDescent="0.2">
      <c r="B16" t="s">
        <v>62</v>
      </c>
      <c r="C16" s="12">
        <v>291</v>
      </c>
      <c r="D16" s="8">
        <v>13.42</v>
      </c>
      <c r="E16" s="12">
        <v>210</v>
      </c>
      <c r="F16" s="8">
        <v>20.170000000000002</v>
      </c>
      <c r="G16" s="12">
        <v>81</v>
      </c>
      <c r="H16" s="8">
        <v>7.26</v>
      </c>
      <c r="I16" s="12">
        <v>0</v>
      </c>
    </row>
    <row r="17" spans="2:9" ht="15" customHeight="1" x14ac:dyDescent="0.2">
      <c r="B17" t="s">
        <v>63</v>
      </c>
      <c r="C17" s="12">
        <v>121</v>
      </c>
      <c r="D17" s="8">
        <v>5.58</v>
      </c>
      <c r="E17" s="12">
        <v>76</v>
      </c>
      <c r="F17" s="8">
        <v>7.3</v>
      </c>
      <c r="G17" s="12">
        <v>42</v>
      </c>
      <c r="H17" s="8">
        <v>3.77</v>
      </c>
      <c r="I17" s="12">
        <v>0</v>
      </c>
    </row>
    <row r="18" spans="2:9" ht="15" customHeight="1" x14ac:dyDescent="0.2">
      <c r="B18" t="s">
        <v>64</v>
      </c>
      <c r="C18" s="12">
        <v>119</v>
      </c>
      <c r="D18" s="8">
        <v>5.49</v>
      </c>
      <c r="E18" s="12">
        <v>68</v>
      </c>
      <c r="F18" s="8">
        <v>6.53</v>
      </c>
      <c r="G18" s="12">
        <v>49</v>
      </c>
      <c r="H18" s="8">
        <v>4.3899999999999997</v>
      </c>
      <c r="I18" s="12">
        <v>1</v>
      </c>
    </row>
    <row r="19" spans="2:9" ht="15" customHeight="1" x14ac:dyDescent="0.2">
      <c r="B19" t="s">
        <v>65</v>
      </c>
      <c r="C19" s="12">
        <v>66</v>
      </c>
      <c r="D19" s="8">
        <v>3.04</v>
      </c>
      <c r="E19" s="12">
        <v>27</v>
      </c>
      <c r="F19" s="8">
        <v>2.59</v>
      </c>
      <c r="G19" s="12">
        <v>34</v>
      </c>
      <c r="H19" s="8">
        <v>3.05</v>
      </c>
      <c r="I19" s="12">
        <v>3</v>
      </c>
    </row>
    <row r="20" spans="2:9" ht="15" customHeight="1" x14ac:dyDescent="0.2">
      <c r="B20" s="9" t="s">
        <v>215</v>
      </c>
      <c r="C20" s="12">
        <f>SUM(LTBL_28217[総数／事業所数])</f>
        <v>2169</v>
      </c>
      <c r="E20" s="12">
        <f>SUBTOTAL(109,LTBL_28217[個人／事業所数])</f>
        <v>1041</v>
      </c>
      <c r="G20" s="12">
        <f>SUBTOTAL(109,LTBL_28217[法人／事業所数])</f>
        <v>1115</v>
      </c>
      <c r="I20" s="12">
        <f>SUBTOTAL(109,LTBL_28217[法人以外の団体／事業所数])</f>
        <v>7</v>
      </c>
    </row>
    <row r="21" spans="2:9" ht="15" customHeight="1" x14ac:dyDescent="0.2">
      <c r="E21" s="11">
        <f>LTBL_28217[[#Totals],[個人／事業所数]]/LTBL_28217[[#Totals],[総数／事業所数]]</f>
        <v>0.47994467496542187</v>
      </c>
      <c r="G21" s="11">
        <f>LTBL_28217[[#Totals],[法人／事業所数]]/LTBL_28217[[#Totals],[総数／事業所数]]</f>
        <v>0.51406177962194555</v>
      </c>
      <c r="I21" s="11">
        <f>LTBL_28217[[#Totals],[法人以外の団体／事業所数]]/LTBL_28217[[#Totals],[総数／事業所数]]</f>
        <v>3.2272936837252188E-3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237</v>
      </c>
      <c r="D24" s="8">
        <v>10.93</v>
      </c>
      <c r="E24" s="12">
        <v>188</v>
      </c>
      <c r="F24" s="8">
        <v>18.059999999999999</v>
      </c>
      <c r="G24" s="12">
        <v>49</v>
      </c>
      <c r="H24" s="8">
        <v>4.3899999999999997</v>
      </c>
      <c r="I24" s="12">
        <v>0</v>
      </c>
    </row>
    <row r="25" spans="2:9" ht="15" customHeight="1" x14ac:dyDescent="0.2">
      <c r="B25" t="s">
        <v>85</v>
      </c>
      <c r="C25" s="12">
        <v>223</v>
      </c>
      <c r="D25" s="8">
        <v>10.28</v>
      </c>
      <c r="E25" s="12">
        <v>60</v>
      </c>
      <c r="F25" s="8">
        <v>5.76</v>
      </c>
      <c r="G25" s="12">
        <v>162</v>
      </c>
      <c r="H25" s="8">
        <v>14.53</v>
      </c>
      <c r="I25" s="12">
        <v>1</v>
      </c>
    </row>
    <row r="26" spans="2:9" ht="15" customHeight="1" x14ac:dyDescent="0.2">
      <c r="B26" t="s">
        <v>88</v>
      </c>
      <c r="C26" s="12">
        <v>223</v>
      </c>
      <c r="D26" s="8">
        <v>10.28</v>
      </c>
      <c r="E26" s="12">
        <v>194</v>
      </c>
      <c r="F26" s="8">
        <v>18.64</v>
      </c>
      <c r="G26" s="12">
        <v>29</v>
      </c>
      <c r="H26" s="8">
        <v>2.6</v>
      </c>
      <c r="I26" s="12">
        <v>0</v>
      </c>
    </row>
    <row r="27" spans="2:9" ht="15" customHeight="1" x14ac:dyDescent="0.2">
      <c r="B27" t="s">
        <v>83</v>
      </c>
      <c r="C27" s="12">
        <v>136</v>
      </c>
      <c r="D27" s="8">
        <v>6.27</v>
      </c>
      <c r="E27" s="12">
        <v>74</v>
      </c>
      <c r="F27" s="8">
        <v>7.11</v>
      </c>
      <c r="G27" s="12">
        <v>60</v>
      </c>
      <c r="H27" s="8">
        <v>5.38</v>
      </c>
      <c r="I27" s="12">
        <v>2</v>
      </c>
    </row>
    <row r="28" spans="2:9" ht="15" customHeight="1" x14ac:dyDescent="0.2">
      <c r="B28" t="s">
        <v>74</v>
      </c>
      <c r="C28" s="12">
        <v>128</v>
      </c>
      <c r="D28" s="8">
        <v>5.9</v>
      </c>
      <c r="E28" s="12">
        <v>25</v>
      </c>
      <c r="F28" s="8">
        <v>2.4</v>
      </c>
      <c r="G28" s="12">
        <v>103</v>
      </c>
      <c r="H28" s="8">
        <v>9.24</v>
      </c>
      <c r="I28" s="12">
        <v>0</v>
      </c>
    </row>
    <row r="29" spans="2:9" ht="15" customHeight="1" x14ac:dyDescent="0.2">
      <c r="B29" t="s">
        <v>91</v>
      </c>
      <c r="C29" s="12">
        <v>121</v>
      </c>
      <c r="D29" s="8">
        <v>5.58</v>
      </c>
      <c r="E29" s="12">
        <v>76</v>
      </c>
      <c r="F29" s="8">
        <v>7.3</v>
      </c>
      <c r="G29" s="12">
        <v>42</v>
      </c>
      <c r="H29" s="8">
        <v>3.77</v>
      </c>
      <c r="I29" s="12">
        <v>0</v>
      </c>
    </row>
    <row r="30" spans="2:9" ht="15" customHeight="1" x14ac:dyDescent="0.2">
      <c r="B30" t="s">
        <v>82</v>
      </c>
      <c r="C30" s="12">
        <v>89</v>
      </c>
      <c r="D30" s="8">
        <v>4.0999999999999996</v>
      </c>
      <c r="E30" s="12">
        <v>53</v>
      </c>
      <c r="F30" s="8">
        <v>5.09</v>
      </c>
      <c r="G30" s="12">
        <v>36</v>
      </c>
      <c r="H30" s="8">
        <v>3.23</v>
      </c>
      <c r="I30" s="12">
        <v>0</v>
      </c>
    </row>
    <row r="31" spans="2:9" ht="15" customHeight="1" x14ac:dyDescent="0.2">
      <c r="B31" t="s">
        <v>81</v>
      </c>
      <c r="C31" s="12">
        <v>87</v>
      </c>
      <c r="D31" s="8">
        <v>4.01</v>
      </c>
      <c r="E31" s="12">
        <v>62</v>
      </c>
      <c r="F31" s="8">
        <v>5.96</v>
      </c>
      <c r="G31" s="12">
        <v>25</v>
      </c>
      <c r="H31" s="8">
        <v>2.2400000000000002</v>
      </c>
      <c r="I31" s="12">
        <v>0</v>
      </c>
    </row>
    <row r="32" spans="2:9" ht="15" customHeight="1" x14ac:dyDescent="0.2">
      <c r="B32" t="s">
        <v>92</v>
      </c>
      <c r="C32" s="12">
        <v>83</v>
      </c>
      <c r="D32" s="8">
        <v>3.83</v>
      </c>
      <c r="E32" s="12">
        <v>67</v>
      </c>
      <c r="F32" s="8">
        <v>6.44</v>
      </c>
      <c r="G32" s="12">
        <v>15</v>
      </c>
      <c r="H32" s="8">
        <v>1.35</v>
      </c>
      <c r="I32" s="12">
        <v>1</v>
      </c>
    </row>
    <row r="33" spans="2:9" ht="15" customHeight="1" x14ac:dyDescent="0.2">
      <c r="B33" t="s">
        <v>86</v>
      </c>
      <c r="C33" s="12">
        <v>74</v>
      </c>
      <c r="D33" s="8">
        <v>3.41</v>
      </c>
      <c r="E33" s="12">
        <v>40</v>
      </c>
      <c r="F33" s="8">
        <v>3.84</v>
      </c>
      <c r="G33" s="12">
        <v>34</v>
      </c>
      <c r="H33" s="8">
        <v>3.05</v>
      </c>
      <c r="I33" s="12">
        <v>0</v>
      </c>
    </row>
    <row r="34" spans="2:9" ht="15" customHeight="1" x14ac:dyDescent="0.2">
      <c r="B34" t="s">
        <v>76</v>
      </c>
      <c r="C34" s="12">
        <v>63</v>
      </c>
      <c r="D34" s="8">
        <v>2.9</v>
      </c>
      <c r="E34" s="12">
        <v>15</v>
      </c>
      <c r="F34" s="8">
        <v>1.44</v>
      </c>
      <c r="G34" s="12">
        <v>48</v>
      </c>
      <c r="H34" s="8">
        <v>4.3</v>
      </c>
      <c r="I34" s="12">
        <v>0</v>
      </c>
    </row>
    <row r="35" spans="2:9" ht="15" customHeight="1" x14ac:dyDescent="0.2">
      <c r="B35" t="s">
        <v>75</v>
      </c>
      <c r="C35" s="12">
        <v>56</v>
      </c>
      <c r="D35" s="8">
        <v>2.58</v>
      </c>
      <c r="E35" s="12">
        <v>13</v>
      </c>
      <c r="F35" s="8">
        <v>1.25</v>
      </c>
      <c r="G35" s="12">
        <v>43</v>
      </c>
      <c r="H35" s="8">
        <v>3.86</v>
      </c>
      <c r="I35" s="12">
        <v>0</v>
      </c>
    </row>
    <row r="36" spans="2:9" ht="15" customHeight="1" x14ac:dyDescent="0.2">
      <c r="B36" t="s">
        <v>80</v>
      </c>
      <c r="C36" s="12">
        <v>45</v>
      </c>
      <c r="D36" s="8">
        <v>2.0699999999999998</v>
      </c>
      <c r="E36" s="12">
        <v>16</v>
      </c>
      <c r="F36" s="8">
        <v>1.54</v>
      </c>
      <c r="G36" s="12">
        <v>29</v>
      </c>
      <c r="H36" s="8">
        <v>2.6</v>
      </c>
      <c r="I36" s="12">
        <v>0</v>
      </c>
    </row>
    <row r="37" spans="2:9" ht="15" customHeight="1" x14ac:dyDescent="0.2">
      <c r="B37" t="s">
        <v>87</v>
      </c>
      <c r="C37" s="12">
        <v>43</v>
      </c>
      <c r="D37" s="8">
        <v>1.98</v>
      </c>
      <c r="E37" s="12">
        <v>17</v>
      </c>
      <c r="F37" s="8">
        <v>1.63</v>
      </c>
      <c r="G37" s="12">
        <v>26</v>
      </c>
      <c r="H37" s="8">
        <v>2.33</v>
      </c>
      <c r="I37" s="12">
        <v>0</v>
      </c>
    </row>
    <row r="38" spans="2:9" ht="15" customHeight="1" x14ac:dyDescent="0.2">
      <c r="B38" t="s">
        <v>90</v>
      </c>
      <c r="C38" s="12">
        <v>43</v>
      </c>
      <c r="D38" s="8">
        <v>1.98</v>
      </c>
      <c r="E38" s="12">
        <v>17</v>
      </c>
      <c r="F38" s="8">
        <v>1.63</v>
      </c>
      <c r="G38" s="12">
        <v>26</v>
      </c>
      <c r="H38" s="8">
        <v>2.33</v>
      </c>
      <c r="I38" s="12">
        <v>0</v>
      </c>
    </row>
    <row r="39" spans="2:9" ht="15" customHeight="1" x14ac:dyDescent="0.2">
      <c r="B39" t="s">
        <v>84</v>
      </c>
      <c r="C39" s="12">
        <v>38</v>
      </c>
      <c r="D39" s="8">
        <v>1.75</v>
      </c>
      <c r="E39" s="12">
        <v>10</v>
      </c>
      <c r="F39" s="8">
        <v>0.96</v>
      </c>
      <c r="G39" s="12">
        <v>28</v>
      </c>
      <c r="H39" s="8">
        <v>2.5099999999999998</v>
      </c>
      <c r="I39" s="12">
        <v>0</v>
      </c>
    </row>
    <row r="40" spans="2:9" ht="15" customHeight="1" x14ac:dyDescent="0.2">
      <c r="B40" t="s">
        <v>93</v>
      </c>
      <c r="C40" s="12">
        <v>36</v>
      </c>
      <c r="D40" s="8">
        <v>1.66</v>
      </c>
      <c r="E40" s="12">
        <v>1</v>
      </c>
      <c r="F40" s="8">
        <v>0.1</v>
      </c>
      <c r="G40" s="12">
        <v>34</v>
      </c>
      <c r="H40" s="8">
        <v>3.05</v>
      </c>
      <c r="I40" s="12">
        <v>0</v>
      </c>
    </row>
    <row r="41" spans="2:9" ht="15" customHeight="1" x14ac:dyDescent="0.2">
      <c r="B41" t="s">
        <v>97</v>
      </c>
      <c r="C41" s="12">
        <v>32</v>
      </c>
      <c r="D41" s="8">
        <v>1.48</v>
      </c>
      <c r="E41" s="12">
        <v>3</v>
      </c>
      <c r="F41" s="8">
        <v>0.28999999999999998</v>
      </c>
      <c r="G41" s="12">
        <v>29</v>
      </c>
      <c r="H41" s="8">
        <v>2.6</v>
      </c>
      <c r="I41" s="12">
        <v>0</v>
      </c>
    </row>
    <row r="42" spans="2:9" ht="15" customHeight="1" x14ac:dyDescent="0.2">
      <c r="B42" t="s">
        <v>79</v>
      </c>
      <c r="C42" s="12">
        <v>32</v>
      </c>
      <c r="D42" s="8">
        <v>1.48</v>
      </c>
      <c r="E42" s="12">
        <v>8</v>
      </c>
      <c r="F42" s="8">
        <v>0.77</v>
      </c>
      <c r="G42" s="12">
        <v>24</v>
      </c>
      <c r="H42" s="8">
        <v>2.15</v>
      </c>
      <c r="I42" s="12">
        <v>0</v>
      </c>
    </row>
    <row r="43" spans="2:9" ht="15" customHeight="1" x14ac:dyDescent="0.2">
      <c r="B43" t="s">
        <v>78</v>
      </c>
      <c r="C43" s="12">
        <v>30</v>
      </c>
      <c r="D43" s="8">
        <v>1.38</v>
      </c>
      <c r="E43" s="12">
        <v>3</v>
      </c>
      <c r="F43" s="8">
        <v>0.28999999999999998</v>
      </c>
      <c r="G43" s="12">
        <v>27</v>
      </c>
      <c r="H43" s="8">
        <v>2.42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138</v>
      </c>
      <c r="D47" s="8">
        <v>6.36</v>
      </c>
      <c r="E47" s="12">
        <v>116</v>
      </c>
      <c r="F47" s="8">
        <v>11.14</v>
      </c>
      <c r="G47" s="12">
        <v>22</v>
      </c>
      <c r="H47" s="8">
        <v>1.97</v>
      </c>
      <c r="I47" s="12">
        <v>0</v>
      </c>
    </row>
    <row r="48" spans="2:9" ht="15" customHeight="1" x14ac:dyDescent="0.2">
      <c r="B48" t="s">
        <v>132</v>
      </c>
      <c r="C48" s="12">
        <v>97</v>
      </c>
      <c r="D48" s="8">
        <v>4.47</v>
      </c>
      <c r="E48" s="12">
        <v>27</v>
      </c>
      <c r="F48" s="8">
        <v>2.59</v>
      </c>
      <c r="G48" s="12">
        <v>70</v>
      </c>
      <c r="H48" s="8">
        <v>6.28</v>
      </c>
      <c r="I48" s="12">
        <v>0</v>
      </c>
    </row>
    <row r="49" spans="2:9" ht="15" customHeight="1" x14ac:dyDescent="0.2">
      <c r="B49" t="s">
        <v>140</v>
      </c>
      <c r="C49" s="12">
        <v>76</v>
      </c>
      <c r="D49" s="8">
        <v>3.5</v>
      </c>
      <c r="E49" s="12">
        <v>48</v>
      </c>
      <c r="F49" s="8">
        <v>4.6100000000000003</v>
      </c>
      <c r="G49" s="12">
        <v>28</v>
      </c>
      <c r="H49" s="8">
        <v>2.5099999999999998</v>
      </c>
      <c r="I49" s="12">
        <v>0</v>
      </c>
    </row>
    <row r="50" spans="2:9" ht="15" customHeight="1" x14ac:dyDescent="0.2">
      <c r="B50" t="s">
        <v>131</v>
      </c>
      <c r="C50" s="12">
        <v>59</v>
      </c>
      <c r="D50" s="8">
        <v>2.72</v>
      </c>
      <c r="E50" s="12">
        <v>14</v>
      </c>
      <c r="F50" s="8">
        <v>1.34</v>
      </c>
      <c r="G50" s="12">
        <v>44</v>
      </c>
      <c r="H50" s="8">
        <v>3.95</v>
      </c>
      <c r="I50" s="12">
        <v>1</v>
      </c>
    </row>
    <row r="51" spans="2:9" ht="15" customHeight="1" x14ac:dyDescent="0.2">
      <c r="B51" t="s">
        <v>141</v>
      </c>
      <c r="C51" s="12">
        <v>59</v>
      </c>
      <c r="D51" s="8">
        <v>2.72</v>
      </c>
      <c r="E51" s="12">
        <v>47</v>
      </c>
      <c r="F51" s="8">
        <v>4.51</v>
      </c>
      <c r="G51" s="12">
        <v>11</v>
      </c>
      <c r="H51" s="8">
        <v>0.99</v>
      </c>
      <c r="I51" s="12">
        <v>1</v>
      </c>
    </row>
    <row r="52" spans="2:9" ht="15" customHeight="1" x14ac:dyDescent="0.2">
      <c r="B52" t="s">
        <v>122</v>
      </c>
      <c r="C52" s="12">
        <v>58</v>
      </c>
      <c r="D52" s="8">
        <v>2.67</v>
      </c>
      <c r="E52" s="12">
        <v>7</v>
      </c>
      <c r="F52" s="8">
        <v>0.67</v>
      </c>
      <c r="G52" s="12">
        <v>51</v>
      </c>
      <c r="H52" s="8">
        <v>4.57</v>
      </c>
      <c r="I52" s="12">
        <v>0</v>
      </c>
    </row>
    <row r="53" spans="2:9" ht="15" customHeight="1" x14ac:dyDescent="0.2">
      <c r="B53" t="s">
        <v>127</v>
      </c>
      <c r="C53" s="12">
        <v>49</v>
      </c>
      <c r="D53" s="8">
        <v>2.2599999999999998</v>
      </c>
      <c r="E53" s="12">
        <v>24</v>
      </c>
      <c r="F53" s="8">
        <v>2.31</v>
      </c>
      <c r="G53" s="12">
        <v>25</v>
      </c>
      <c r="H53" s="8">
        <v>2.2400000000000002</v>
      </c>
      <c r="I53" s="12">
        <v>0</v>
      </c>
    </row>
    <row r="54" spans="2:9" ht="15" customHeight="1" x14ac:dyDescent="0.2">
      <c r="B54" t="s">
        <v>134</v>
      </c>
      <c r="C54" s="12">
        <v>46</v>
      </c>
      <c r="D54" s="8">
        <v>2.12</v>
      </c>
      <c r="E54" s="12">
        <v>41</v>
      </c>
      <c r="F54" s="8">
        <v>3.94</v>
      </c>
      <c r="G54" s="12">
        <v>5</v>
      </c>
      <c r="H54" s="8">
        <v>0.45</v>
      </c>
      <c r="I54" s="12">
        <v>0</v>
      </c>
    </row>
    <row r="55" spans="2:9" ht="15" customHeight="1" x14ac:dyDescent="0.2">
      <c r="B55" t="s">
        <v>136</v>
      </c>
      <c r="C55" s="12">
        <v>46</v>
      </c>
      <c r="D55" s="8">
        <v>2.12</v>
      </c>
      <c r="E55" s="12">
        <v>42</v>
      </c>
      <c r="F55" s="8">
        <v>4.03</v>
      </c>
      <c r="G55" s="12">
        <v>4</v>
      </c>
      <c r="H55" s="8">
        <v>0.36</v>
      </c>
      <c r="I55" s="12">
        <v>0</v>
      </c>
    </row>
    <row r="56" spans="2:9" ht="15" customHeight="1" x14ac:dyDescent="0.2">
      <c r="B56" t="s">
        <v>133</v>
      </c>
      <c r="C56" s="12">
        <v>45</v>
      </c>
      <c r="D56" s="8">
        <v>2.0699999999999998</v>
      </c>
      <c r="E56" s="12">
        <v>36</v>
      </c>
      <c r="F56" s="8">
        <v>3.46</v>
      </c>
      <c r="G56" s="12">
        <v>9</v>
      </c>
      <c r="H56" s="8">
        <v>0.81</v>
      </c>
      <c r="I56" s="12">
        <v>0</v>
      </c>
    </row>
    <row r="57" spans="2:9" ht="15" customHeight="1" x14ac:dyDescent="0.2">
      <c r="B57" t="s">
        <v>129</v>
      </c>
      <c r="C57" s="12">
        <v>44</v>
      </c>
      <c r="D57" s="8">
        <v>2.0299999999999998</v>
      </c>
      <c r="E57" s="12">
        <v>33</v>
      </c>
      <c r="F57" s="8">
        <v>3.17</v>
      </c>
      <c r="G57" s="12">
        <v>11</v>
      </c>
      <c r="H57" s="8">
        <v>0.99</v>
      </c>
      <c r="I57" s="12">
        <v>0</v>
      </c>
    </row>
    <row r="58" spans="2:9" ht="15" customHeight="1" x14ac:dyDescent="0.2">
      <c r="B58" t="s">
        <v>143</v>
      </c>
      <c r="C58" s="12">
        <v>43</v>
      </c>
      <c r="D58" s="8">
        <v>1.98</v>
      </c>
      <c r="E58" s="12">
        <v>2</v>
      </c>
      <c r="F58" s="8">
        <v>0.19</v>
      </c>
      <c r="G58" s="12">
        <v>41</v>
      </c>
      <c r="H58" s="8">
        <v>3.68</v>
      </c>
      <c r="I58" s="12">
        <v>0</v>
      </c>
    </row>
    <row r="59" spans="2:9" ht="15" customHeight="1" x14ac:dyDescent="0.2">
      <c r="B59" t="s">
        <v>135</v>
      </c>
      <c r="C59" s="12">
        <v>42</v>
      </c>
      <c r="D59" s="8">
        <v>1.94</v>
      </c>
      <c r="E59" s="12">
        <v>42</v>
      </c>
      <c r="F59" s="8">
        <v>4.03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146</v>
      </c>
      <c r="C60" s="12">
        <v>41</v>
      </c>
      <c r="D60" s="8">
        <v>1.89</v>
      </c>
      <c r="E60" s="12">
        <v>22</v>
      </c>
      <c r="F60" s="8">
        <v>2.11</v>
      </c>
      <c r="G60" s="12">
        <v>19</v>
      </c>
      <c r="H60" s="8">
        <v>1.7</v>
      </c>
      <c r="I60" s="12">
        <v>0</v>
      </c>
    </row>
    <row r="61" spans="2:9" ht="15" customHeight="1" x14ac:dyDescent="0.2">
      <c r="B61" t="s">
        <v>137</v>
      </c>
      <c r="C61" s="12">
        <v>40</v>
      </c>
      <c r="D61" s="8">
        <v>1.84</v>
      </c>
      <c r="E61" s="12">
        <v>39</v>
      </c>
      <c r="F61" s="8">
        <v>3.75</v>
      </c>
      <c r="G61" s="12">
        <v>1</v>
      </c>
      <c r="H61" s="8">
        <v>0.09</v>
      </c>
      <c r="I61" s="12">
        <v>0</v>
      </c>
    </row>
    <row r="62" spans="2:9" ht="15" customHeight="1" x14ac:dyDescent="0.2">
      <c r="B62" t="s">
        <v>139</v>
      </c>
      <c r="C62" s="12">
        <v>34</v>
      </c>
      <c r="D62" s="8">
        <v>1.57</v>
      </c>
      <c r="E62" s="12">
        <v>28</v>
      </c>
      <c r="F62" s="8">
        <v>2.69</v>
      </c>
      <c r="G62" s="12">
        <v>6</v>
      </c>
      <c r="H62" s="8">
        <v>0.54</v>
      </c>
      <c r="I62" s="12">
        <v>0</v>
      </c>
    </row>
    <row r="63" spans="2:9" ht="15" customHeight="1" x14ac:dyDescent="0.2">
      <c r="B63" t="s">
        <v>176</v>
      </c>
      <c r="C63" s="12">
        <v>33</v>
      </c>
      <c r="D63" s="8">
        <v>1.52</v>
      </c>
      <c r="E63" s="12">
        <v>23</v>
      </c>
      <c r="F63" s="8">
        <v>2.21</v>
      </c>
      <c r="G63" s="12">
        <v>10</v>
      </c>
      <c r="H63" s="8">
        <v>0.9</v>
      </c>
      <c r="I63" s="12">
        <v>0</v>
      </c>
    </row>
    <row r="64" spans="2:9" ht="15" customHeight="1" x14ac:dyDescent="0.2">
      <c r="B64" t="s">
        <v>159</v>
      </c>
      <c r="C64" s="12">
        <v>31</v>
      </c>
      <c r="D64" s="8">
        <v>1.43</v>
      </c>
      <c r="E64" s="12">
        <v>6</v>
      </c>
      <c r="F64" s="8">
        <v>0.57999999999999996</v>
      </c>
      <c r="G64" s="12">
        <v>25</v>
      </c>
      <c r="H64" s="8">
        <v>2.2400000000000002</v>
      </c>
      <c r="I64" s="12">
        <v>0</v>
      </c>
    </row>
    <row r="65" spans="2:9" ht="15" customHeight="1" x14ac:dyDescent="0.2">
      <c r="B65" t="s">
        <v>125</v>
      </c>
      <c r="C65" s="12">
        <v>26</v>
      </c>
      <c r="D65" s="8">
        <v>1.2</v>
      </c>
      <c r="E65" s="12">
        <v>10</v>
      </c>
      <c r="F65" s="8">
        <v>0.96</v>
      </c>
      <c r="G65" s="12">
        <v>16</v>
      </c>
      <c r="H65" s="8">
        <v>1.43</v>
      </c>
      <c r="I65" s="12">
        <v>0</v>
      </c>
    </row>
    <row r="66" spans="2:9" ht="15" customHeight="1" x14ac:dyDescent="0.2">
      <c r="B66" t="s">
        <v>126</v>
      </c>
      <c r="C66" s="12">
        <v>26</v>
      </c>
      <c r="D66" s="8">
        <v>1.2</v>
      </c>
      <c r="E66" s="12">
        <v>16</v>
      </c>
      <c r="F66" s="8">
        <v>1.54</v>
      </c>
      <c r="G66" s="12">
        <v>10</v>
      </c>
      <c r="H66" s="8">
        <v>0.9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DA4C-5581-4C34-9004-1F379199AC7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245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0.22</v>
      </c>
      <c r="I5" s="12">
        <v>0</v>
      </c>
    </row>
    <row r="6" spans="2:9" ht="15" customHeight="1" x14ac:dyDescent="0.2">
      <c r="B6" t="s">
        <v>52</v>
      </c>
      <c r="C6" s="12">
        <v>135</v>
      </c>
      <c r="D6" s="8">
        <v>11.43</v>
      </c>
      <c r="E6" s="12">
        <v>60</v>
      </c>
      <c r="F6" s="8">
        <v>8.4700000000000006</v>
      </c>
      <c r="G6" s="12">
        <v>75</v>
      </c>
      <c r="H6" s="8">
        <v>16.38</v>
      </c>
      <c r="I6" s="12">
        <v>0</v>
      </c>
    </row>
    <row r="7" spans="2:9" ht="15" customHeight="1" x14ac:dyDescent="0.2">
      <c r="B7" t="s">
        <v>53</v>
      </c>
      <c r="C7" s="12">
        <v>271</v>
      </c>
      <c r="D7" s="8">
        <v>22.95</v>
      </c>
      <c r="E7" s="12">
        <v>163</v>
      </c>
      <c r="F7" s="8">
        <v>23.02</v>
      </c>
      <c r="G7" s="12">
        <v>108</v>
      </c>
      <c r="H7" s="8">
        <v>23.58</v>
      </c>
      <c r="I7" s="12">
        <v>0</v>
      </c>
    </row>
    <row r="8" spans="2:9" ht="15" customHeight="1" x14ac:dyDescent="0.2">
      <c r="B8" t="s">
        <v>54</v>
      </c>
      <c r="C8" s="12">
        <v>7</v>
      </c>
      <c r="D8" s="8">
        <v>0.59</v>
      </c>
      <c r="E8" s="12">
        <v>1</v>
      </c>
      <c r="F8" s="8">
        <v>0.14000000000000001</v>
      </c>
      <c r="G8" s="12">
        <v>5</v>
      </c>
      <c r="H8" s="8">
        <v>1.0900000000000001</v>
      </c>
      <c r="I8" s="12">
        <v>0</v>
      </c>
    </row>
    <row r="9" spans="2:9" ht="15" customHeight="1" x14ac:dyDescent="0.2">
      <c r="B9" t="s">
        <v>55</v>
      </c>
      <c r="C9" s="12">
        <v>6</v>
      </c>
      <c r="D9" s="8">
        <v>0.51</v>
      </c>
      <c r="E9" s="12">
        <v>0</v>
      </c>
      <c r="F9" s="8">
        <v>0</v>
      </c>
      <c r="G9" s="12">
        <v>6</v>
      </c>
      <c r="H9" s="8">
        <v>1.31</v>
      </c>
      <c r="I9" s="12">
        <v>0</v>
      </c>
    </row>
    <row r="10" spans="2:9" ht="15" customHeight="1" x14ac:dyDescent="0.2">
      <c r="B10" t="s">
        <v>56</v>
      </c>
      <c r="C10" s="12">
        <v>13</v>
      </c>
      <c r="D10" s="8">
        <v>1.1000000000000001</v>
      </c>
      <c r="E10" s="12">
        <v>2</v>
      </c>
      <c r="F10" s="8">
        <v>0.28000000000000003</v>
      </c>
      <c r="G10" s="12">
        <v>10</v>
      </c>
      <c r="H10" s="8">
        <v>2.1800000000000002</v>
      </c>
      <c r="I10" s="12">
        <v>1</v>
      </c>
    </row>
    <row r="11" spans="2:9" ht="15" customHeight="1" x14ac:dyDescent="0.2">
      <c r="B11" t="s">
        <v>57</v>
      </c>
      <c r="C11" s="12">
        <v>281</v>
      </c>
      <c r="D11" s="8">
        <v>23.79</v>
      </c>
      <c r="E11" s="12">
        <v>159</v>
      </c>
      <c r="F11" s="8">
        <v>22.46</v>
      </c>
      <c r="G11" s="12">
        <v>120</v>
      </c>
      <c r="H11" s="8">
        <v>26.2</v>
      </c>
      <c r="I11" s="12">
        <v>2</v>
      </c>
    </row>
    <row r="12" spans="2:9" ht="15" customHeight="1" x14ac:dyDescent="0.2">
      <c r="B12" t="s">
        <v>58</v>
      </c>
      <c r="C12" s="12">
        <v>9</v>
      </c>
      <c r="D12" s="8">
        <v>0.76</v>
      </c>
      <c r="E12" s="12">
        <v>3</v>
      </c>
      <c r="F12" s="8">
        <v>0.42</v>
      </c>
      <c r="G12" s="12">
        <v>6</v>
      </c>
      <c r="H12" s="8">
        <v>1.31</v>
      </c>
      <c r="I12" s="12">
        <v>0</v>
      </c>
    </row>
    <row r="13" spans="2:9" ht="15" customHeight="1" x14ac:dyDescent="0.2">
      <c r="B13" t="s">
        <v>59</v>
      </c>
      <c r="C13" s="12">
        <v>77</v>
      </c>
      <c r="D13" s="8">
        <v>6.52</v>
      </c>
      <c r="E13" s="12">
        <v>33</v>
      </c>
      <c r="F13" s="8">
        <v>4.66</v>
      </c>
      <c r="G13" s="12">
        <v>44</v>
      </c>
      <c r="H13" s="8">
        <v>9.61</v>
      </c>
      <c r="I13" s="12">
        <v>0</v>
      </c>
    </row>
    <row r="14" spans="2:9" ht="15" customHeight="1" x14ac:dyDescent="0.2">
      <c r="B14" t="s">
        <v>60</v>
      </c>
      <c r="C14" s="12">
        <v>51</v>
      </c>
      <c r="D14" s="8">
        <v>4.32</v>
      </c>
      <c r="E14" s="12">
        <v>37</v>
      </c>
      <c r="F14" s="8">
        <v>5.23</v>
      </c>
      <c r="G14" s="12">
        <v>13</v>
      </c>
      <c r="H14" s="8">
        <v>2.84</v>
      </c>
      <c r="I14" s="12">
        <v>0</v>
      </c>
    </row>
    <row r="15" spans="2:9" ht="15" customHeight="1" x14ac:dyDescent="0.2">
      <c r="B15" t="s">
        <v>61</v>
      </c>
      <c r="C15" s="12">
        <v>117</v>
      </c>
      <c r="D15" s="8">
        <v>9.91</v>
      </c>
      <c r="E15" s="12">
        <v>104</v>
      </c>
      <c r="F15" s="8">
        <v>14.69</v>
      </c>
      <c r="G15" s="12">
        <v>12</v>
      </c>
      <c r="H15" s="8">
        <v>2.62</v>
      </c>
      <c r="I15" s="12">
        <v>1</v>
      </c>
    </row>
    <row r="16" spans="2:9" ht="15" customHeight="1" x14ac:dyDescent="0.2">
      <c r="B16" t="s">
        <v>62</v>
      </c>
      <c r="C16" s="12">
        <v>103</v>
      </c>
      <c r="D16" s="8">
        <v>8.7200000000000006</v>
      </c>
      <c r="E16" s="12">
        <v>82</v>
      </c>
      <c r="F16" s="8">
        <v>11.58</v>
      </c>
      <c r="G16" s="12">
        <v>20</v>
      </c>
      <c r="H16" s="8">
        <v>4.37</v>
      </c>
      <c r="I16" s="12">
        <v>1</v>
      </c>
    </row>
    <row r="17" spans="2:9" ht="15" customHeight="1" x14ac:dyDescent="0.2">
      <c r="B17" t="s">
        <v>63</v>
      </c>
      <c r="C17" s="12">
        <v>34</v>
      </c>
      <c r="D17" s="8">
        <v>2.88</v>
      </c>
      <c r="E17" s="12">
        <v>25</v>
      </c>
      <c r="F17" s="8">
        <v>3.53</v>
      </c>
      <c r="G17" s="12">
        <v>7</v>
      </c>
      <c r="H17" s="8">
        <v>1.53</v>
      </c>
      <c r="I17" s="12">
        <v>0</v>
      </c>
    </row>
    <row r="18" spans="2:9" ht="15" customHeight="1" x14ac:dyDescent="0.2">
      <c r="B18" t="s">
        <v>64</v>
      </c>
      <c r="C18" s="12">
        <v>31</v>
      </c>
      <c r="D18" s="8">
        <v>2.62</v>
      </c>
      <c r="E18" s="12">
        <v>21</v>
      </c>
      <c r="F18" s="8">
        <v>2.97</v>
      </c>
      <c r="G18" s="12">
        <v>10</v>
      </c>
      <c r="H18" s="8">
        <v>2.1800000000000002</v>
      </c>
      <c r="I18" s="12">
        <v>0</v>
      </c>
    </row>
    <row r="19" spans="2:9" ht="15" customHeight="1" x14ac:dyDescent="0.2">
      <c r="B19" t="s">
        <v>65</v>
      </c>
      <c r="C19" s="12">
        <v>45</v>
      </c>
      <c r="D19" s="8">
        <v>3.81</v>
      </c>
      <c r="E19" s="12">
        <v>18</v>
      </c>
      <c r="F19" s="8">
        <v>2.54</v>
      </c>
      <c r="G19" s="12">
        <v>21</v>
      </c>
      <c r="H19" s="8">
        <v>4.59</v>
      </c>
      <c r="I19" s="12">
        <v>0</v>
      </c>
    </row>
    <row r="20" spans="2:9" ht="15" customHeight="1" x14ac:dyDescent="0.2">
      <c r="B20" s="9" t="s">
        <v>215</v>
      </c>
      <c r="C20" s="12">
        <f>SUM(LTBL_28218[総数／事業所数])</f>
        <v>1181</v>
      </c>
      <c r="E20" s="12">
        <f>SUBTOTAL(109,LTBL_28218[個人／事業所数])</f>
        <v>708</v>
      </c>
      <c r="G20" s="12">
        <f>SUBTOTAL(109,LTBL_28218[法人／事業所数])</f>
        <v>458</v>
      </c>
      <c r="I20" s="12">
        <f>SUBTOTAL(109,LTBL_28218[法人以外の団体／事業所数])</f>
        <v>5</v>
      </c>
    </row>
    <row r="21" spans="2:9" ht="15" customHeight="1" x14ac:dyDescent="0.2">
      <c r="E21" s="11">
        <f>LTBL_28218[[#Totals],[個人／事業所数]]/LTBL_28218[[#Totals],[総数／事業所数]]</f>
        <v>0.59949195596951732</v>
      </c>
      <c r="G21" s="11">
        <f>LTBL_28218[[#Totals],[法人／事業所数]]/LTBL_28218[[#Totals],[総数／事業所数]]</f>
        <v>0.38780694326841658</v>
      </c>
      <c r="I21" s="11">
        <f>LTBL_28218[[#Totals],[法人以外の団体／事業所数]]/LTBL_28218[[#Totals],[総数／事業所数]]</f>
        <v>4.2337002540220152E-3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77</v>
      </c>
      <c r="C24" s="12">
        <v>113</v>
      </c>
      <c r="D24" s="8">
        <v>9.57</v>
      </c>
      <c r="E24" s="12">
        <v>84</v>
      </c>
      <c r="F24" s="8">
        <v>11.86</v>
      </c>
      <c r="G24" s="12">
        <v>29</v>
      </c>
      <c r="H24" s="8">
        <v>6.33</v>
      </c>
      <c r="I24" s="12">
        <v>0</v>
      </c>
    </row>
    <row r="25" spans="2:9" ht="15" customHeight="1" x14ac:dyDescent="0.2">
      <c r="B25" t="s">
        <v>88</v>
      </c>
      <c r="C25" s="12">
        <v>108</v>
      </c>
      <c r="D25" s="8">
        <v>9.14</v>
      </c>
      <c r="E25" s="12">
        <v>101</v>
      </c>
      <c r="F25" s="8">
        <v>14.27</v>
      </c>
      <c r="G25" s="12">
        <v>6</v>
      </c>
      <c r="H25" s="8">
        <v>1.31</v>
      </c>
      <c r="I25" s="12">
        <v>1</v>
      </c>
    </row>
    <row r="26" spans="2:9" ht="15" customHeight="1" x14ac:dyDescent="0.2">
      <c r="B26" t="s">
        <v>89</v>
      </c>
      <c r="C26" s="12">
        <v>86</v>
      </c>
      <c r="D26" s="8">
        <v>7.28</v>
      </c>
      <c r="E26" s="12">
        <v>73</v>
      </c>
      <c r="F26" s="8">
        <v>10.31</v>
      </c>
      <c r="G26" s="12">
        <v>13</v>
      </c>
      <c r="H26" s="8">
        <v>2.84</v>
      </c>
      <c r="I26" s="12">
        <v>0</v>
      </c>
    </row>
    <row r="27" spans="2:9" ht="15" customHeight="1" x14ac:dyDescent="0.2">
      <c r="B27" t="s">
        <v>83</v>
      </c>
      <c r="C27" s="12">
        <v>82</v>
      </c>
      <c r="D27" s="8">
        <v>6.94</v>
      </c>
      <c r="E27" s="12">
        <v>48</v>
      </c>
      <c r="F27" s="8">
        <v>6.78</v>
      </c>
      <c r="G27" s="12">
        <v>34</v>
      </c>
      <c r="H27" s="8">
        <v>7.42</v>
      </c>
      <c r="I27" s="12">
        <v>0</v>
      </c>
    </row>
    <row r="28" spans="2:9" ht="15" customHeight="1" x14ac:dyDescent="0.2">
      <c r="B28" t="s">
        <v>74</v>
      </c>
      <c r="C28" s="12">
        <v>72</v>
      </c>
      <c r="D28" s="8">
        <v>6.1</v>
      </c>
      <c r="E28" s="12">
        <v>26</v>
      </c>
      <c r="F28" s="8">
        <v>3.67</v>
      </c>
      <c r="G28" s="12">
        <v>46</v>
      </c>
      <c r="H28" s="8">
        <v>10.039999999999999</v>
      </c>
      <c r="I28" s="12">
        <v>0</v>
      </c>
    </row>
    <row r="29" spans="2:9" ht="15" customHeight="1" x14ac:dyDescent="0.2">
      <c r="B29" t="s">
        <v>85</v>
      </c>
      <c r="C29" s="12">
        <v>57</v>
      </c>
      <c r="D29" s="8">
        <v>4.83</v>
      </c>
      <c r="E29" s="12">
        <v>25</v>
      </c>
      <c r="F29" s="8">
        <v>3.53</v>
      </c>
      <c r="G29" s="12">
        <v>32</v>
      </c>
      <c r="H29" s="8">
        <v>6.99</v>
      </c>
      <c r="I29" s="12">
        <v>0</v>
      </c>
    </row>
    <row r="30" spans="2:9" ht="15" customHeight="1" x14ac:dyDescent="0.2">
      <c r="B30" t="s">
        <v>82</v>
      </c>
      <c r="C30" s="12">
        <v>46</v>
      </c>
      <c r="D30" s="8">
        <v>3.9</v>
      </c>
      <c r="E30" s="12">
        <v>33</v>
      </c>
      <c r="F30" s="8">
        <v>4.66</v>
      </c>
      <c r="G30" s="12">
        <v>13</v>
      </c>
      <c r="H30" s="8">
        <v>2.84</v>
      </c>
      <c r="I30" s="12">
        <v>0</v>
      </c>
    </row>
    <row r="31" spans="2:9" ht="15" customHeight="1" x14ac:dyDescent="0.2">
      <c r="B31" t="s">
        <v>81</v>
      </c>
      <c r="C31" s="12">
        <v>40</v>
      </c>
      <c r="D31" s="8">
        <v>3.39</v>
      </c>
      <c r="E31" s="12">
        <v>30</v>
      </c>
      <c r="F31" s="8">
        <v>4.24</v>
      </c>
      <c r="G31" s="12">
        <v>9</v>
      </c>
      <c r="H31" s="8">
        <v>1.97</v>
      </c>
      <c r="I31" s="12">
        <v>1</v>
      </c>
    </row>
    <row r="32" spans="2:9" ht="15" customHeight="1" x14ac:dyDescent="0.2">
      <c r="B32" t="s">
        <v>75</v>
      </c>
      <c r="C32" s="12">
        <v>37</v>
      </c>
      <c r="D32" s="8">
        <v>3.13</v>
      </c>
      <c r="E32" s="12">
        <v>20</v>
      </c>
      <c r="F32" s="8">
        <v>2.82</v>
      </c>
      <c r="G32" s="12">
        <v>17</v>
      </c>
      <c r="H32" s="8">
        <v>3.71</v>
      </c>
      <c r="I32" s="12">
        <v>0</v>
      </c>
    </row>
    <row r="33" spans="2:9" ht="15" customHeight="1" x14ac:dyDescent="0.2">
      <c r="B33" t="s">
        <v>79</v>
      </c>
      <c r="C33" s="12">
        <v>37</v>
      </c>
      <c r="D33" s="8">
        <v>3.13</v>
      </c>
      <c r="E33" s="12">
        <v>14</v>
      </c>
      <c r="F33" s="8">
        <v>1.98</v>
      </c>
      <c r="G33" s="12">
        <v>22</v>
      </c>
      <c r="H33" s="8">
        <v>4.8</v>
      </c>
      <c r="I33" s="12">
        <v>1</v>
      </c>
    </row>
    <row r="34" spans="2:9" ht="15" customHeight="1" x14ac:dyDescent="0.2">
      <c r="B34" t="s">
        <v>91</v>
      </c>
      <c r="C34" s="12">
        <v>34</v>
      </c>
      <c r="D34" s="8">
        <v>2.88</v>
      </c>
      <c r="E34" s="12">
        <v>25</v>
      </c>
      <c r="F34" s="8">
        <v>3.53</v>
      </c>
      <c r="G34" s="12">
        <v>7</v>
      </c>
      <c r="H34" s="8">
        <v>1.53</v>
      </c>
      <c r="I34" s="12">
        <v>0</v>
      </c>
    </row>
    <row r="35" spans="2:9" ht="15" customHeight="1" x14ac:dyDescent="0.2">
      <c r="B35" t="s">
        <v>76</v>
      </c>
      <c r="C35" s="12">
        <v>26</v>
      </c>
      <c r="D35" s="8">
        <v>2.2000000000000002</v>
      </c>
      <c r="E35" s="12">
        <v>14</v>
      </c>
      <c r="F35" s="8">
        <v>1.98</v>
      </c>
      <c r="G35" s="12">
        <v>12</v>
      </c>
      <c r="H35" s="8">
        <v>2.62</v>
      </c>
      <c r="I35" s="12">
        <v>0</v>
      </c>
    </row>
    <row r="36" spans="2:9" ht="15" customHeight="1" x14ac:dyDescent="0.2">
      <c r="B36" t="s">
        <v>111</v>
      </c>
      <c r="C36" s="12">
        <v>25</v>
      </c>
      <c r="D36" s="8">
        <v>2.12</v>
      </c>
      <c r="E36" s="12">
        <v>19</v>
      </c>
      <c r="F36" s="8">
        <v>2.68</v>
      </c>
      <c r="G36" s="12">
        <v>6</v>
      </c>
      <c r="H36" s="8">
        <v>1.31</v>
      </c>
      <c r="I36" s="12">
        <v>0</v>
      </c>
    </row>
    <row r="37" spans="2:9" ht="15" customHeight="1" x14ac:dyDescent="0.2">
      <c r="B37" t="s">
        <v>86</v>
      </c>
      <c r="C37" s="12">
        <v>25</v>
      </c>
      <c r="D37" s="8">
        <v>2.12</v>
      </c>
      <c r="E37" s="12">
        <v>18</v>
      </c>
      <c r="F37" s="8">
        <v>2.54</v>
      </c>
      <c r="G37" s="12">
        <v>7</v>
      </c>
      <c r="H37" s="8">
        <v>1.53</v>
      </c>
      <c r="I37" s="12">
        <v>0</v>
      </c>
    </row>
    <row r="38" spans="2:9" ht="15" customHeight="1" x14ac:dyDescent="0.2">
      <c r="B38" t="s">
        <v>87</v>
      </c>
      <c r="C38" s="12">
        <v>25</v>
      </c>
      <c r="D38" s="8">
        <v>2.12</v>
      </c>
      <c r="E38" s="12">
        <v>19</v>
      </c>
      <c r="F38" s="8">
        <v>2.68</v>
      </c>
      <c r="G38" s="12">
        <v>5</v>
      </c>
      <c r="H38" s="8">
        <v>1.0900000000000001</v>
      </c>
      <c r="I38" s="12">
        <v>0</v>
      </c>
    </row>
    <row r="39" spans="2:9" ht="15" customHeight="1" x14ac:dyDescent="0.2">
      <c r="B39" t="s">
        <v>97</v>
      </c>
      <c r="C39" s="12">
        <v>22</v>
      </c>
      <c r="D39" s="8">
        <v>1.86</v>
      </c>
      <c r="E39" s="12">
        <v>8</v>
      </c>
      <c r="F39" s="8">
        <v>1.1299999999999999</v>
      </c>
      <c r="G39" s="12">
        <v>14</v>
      </c>
      <c r="H39" s="8">
        <v>3.06</v>
      </c>
      <c r="I39" s="12">
        <v>0</v>
      </c>
    </row>
    <row r="40" spans="2:9" ht="15" customHeight="1" x14ac:dyDescent="0.2">
      <c r="B40" t="s">
        <v>92</v>
      </c>
      <c r="C40" s="12">
        <v>22</v>
      </c>
      <c r="D40" s="8">
        <v>1.86</v>
      </c>
      <c r="E40" s="12">
        <v>21</v>
      </c>
      <c r="F40" s="8">
        <v>2.97</v>
      </c>
      <c r="G40" s="12">
        <v>1</v>
      </c>
      <c r="H40" s="8">
        <v>0.22</v>
      </c>
      <c r="I40" s="12">
        <v>0</v>
      </c>
    </row>
    <row r="41" spans="2:9" ht="15" customHeight="1" x14ac:dyDescent="0.2">
      <c r="B41" t="s">
        <v>100</v>
      </c>
      <c r="C41" s="12">
        <v>20</v>
      </c>
      <c r="D41" s="8">
        <v>1.69</v>
      </c>
      <c r="E41" s="12">
        <v>8</v>
      </c>
      <c r="F41" s="8">
        <v>1.1299999999999999</v>
      </c>
      <c r="G41" s="12">
        <v>12</v>
      </c>
      <c r="H41" s="8">
        <v>2.62</v>
      </c>
      <c r="I41" s="12">
        <v>0</v>
      </c>
    </row>
    <row r="42" spans="2:9" ht="15" customHeight="1" x14ac:dyDescent="0.2">
      <c r="B42" t="s">
        <v>80</v>
      </c>
      <c r="C42" s="12">
        <v>20</v>
      </c>
      <c r="D42" s="8">
        <v>1.69</v>
      </c>
      <c r="E42" s="12">
        <v>16</v>
      </c>
      <c r="F42" s="8">
        <v>2.2599999999999998</v>
      </c>
      <c r="G42" s="12">
        <v>4</v>
      </c>
      <c r="H42" s="8">
        <v>0.87</v>
      </c>
      <c r="I42" s="12">
        <v>0</v>
      </c>
    </row>
    <row r="43" spans="2:9" ht="15" customHeight="1" x14ac:dyDescent="0.2">
      <c r="B43" t="s">
        <v>112</v>
      </c>
      <c r="C43" s="12">
        <v>19</v>
      </c>
      <c r="D43" s="8">
        <v>1.61</v>
      </c>
      <c r="E43" s="12">
        <v>14</v>
      </c>
      <c r="F43" s="8">
        <v>1.98</v>
      </c>
      <c r="G43" s="12">
        <v>5</v>
      </c>
      <c r="H43" s="8">
        <v>1.0900000000000001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178</v>
      </c>
      <c r="C47" s="12">
        <v>71</v>
      </c>
      <c r="D47" s="8">
        <v>6.01</v>
      </c>
      <c r="E47" s="12">
        <v>56</v>
      </c>
      <c r="F47" s="8">
        <v>7.91</v>
      </c>
      <c r="G47" s="12">
        <v>15</v>
      </c>
      <c r="H47" s="8">
        <v>3.28</v>
      </c>
      <c r="I47" s="12">
        <v>0</v>
      </c>
    </row>
    <row r="48" spans="2:9" ht="15" customHeight="1" x14ac:dyDescent="0.2">
      <c r="B48" t="s">
        <v>138</v>
      </c>
      <c r="C48" s="12">
        <v>44</v>
      </c>
      <c r="D48" s="8">
        <v>3.73</v>
      </c>
      <c r="E48" s="12">
        <v>40</v>
      </c>
      <c r="F48" s="8">
        <v>5.65</v>
      </c>
      <c r="G48" s="12">
        <v>4</v>
      </c>
      <c r="H48" s="8">
        <v>0.87</v>
      </c>
      <c r="I48" s="12">
        <v>0</v>
      </c>
    </row>
    <row r="49" spans="2:9" ht="15" customHeight="1" x14ac:dyDescent="0.2">
      <c r="B49" t="s">
        <v>127</v>
      </c>
      <c r="C49" s="12">
        <v>36</v>
      </c>
      <c r="D49" s="8">
        <v>3.05</v>
      </c>
      <c r="E49" s="12">
        <v>25</v>
      </c>
      <c r="F49" s="8">
        <v>3.53</v>
      </c>
      <c r="G49" s="12">
        <v>11</v>
      </c>
      <c r="H49" s="8">
        <v>2.4</v>
      </c>
      <c r="I49" s="12">
        <v>0</v>
      </c>
    </row>
    <row r="50" spans="2:9" ht="15" customHeight="1" x14ac:dyDescent="0.2">
      <c r="B50" t="s">
        <v>132</v>
      </c>
      <c r="C50" s="12">
        <v>36</v>
      </c>
      <c r="D50" s="8">
        <v>3.05</v>
      </c>
      <c r="E50" s="12">
        <v>19</v>
      </c>
      <c r="F50" s="8">
        <v>2.68</v>
      </c>
      <c r="G50" s="12">
        <v>17</v>
      </c>
      <c r="H50" s="8">
        <v>3.71</v>
      </c>
      <c r="I50" s="12">
        <v>0</v>
      </c>
    </row>
    <row r="51" spans="2:9" ht="15" customHeight="1" x14ac:dyDescent="0.2">
      <c r="B51" t="s">
        <v>135</v>
      </c>
      <c r="C51" s="12">
        <v>31</v>
      </c>
      <c r="D51" s="8">
        <v>2.62</v>
      </c>
      <c r="E51" s="12">
        <v>31</v>
      </c>
      <c r="F51" s="8">
        <v>4.38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160</v>
      </c>
      <c r="C52" s="12">
        <v>29</v>
      </c>
      <c r="D52" s="8">
        <v>2.46</v>
      </c>
      <c r="E52" s="12">
        <v>13</v>
      </c>
      <c r="F52" s="8">
        <v>1.84</v>
      </c>
      <c r="G52" s="12">
        <v>15</v>
      </c>
      <c r="H52" s="8">
        <v>3.28</v>
      </c>
      <c r="I52" s="12">
        <v>1</v>
      </c>
    </row>
    <row r="53" spans="2:9" ht="15" customHeight="1" x14ac:dyDescent="0.2">
      <c r="B53" t="s">
        <v>136</v>
      </c>
      <c r="C53" s="12">
        <v>26</v>
      </c>
      <c r="D53" s="8">
        <v>2.2000000000000002</v>
      </c>
      <c r="E53" s="12">
        <v>24</v>
      </c>
      <c r="F53" s="8">
        <v>3.39</v>
      </c>
      <c r="G53" s="12">
        <v>1</v>
      </c>
      <c r="H53" s="8">
        <v>0.22</v>
      </c>
      <c r="I53" s="12">
        <v>1</v>
      </c>
    </row>
    <row r="54" spans="2:9" ht="15" customHeight="1" x14ac:dyDescent="0.2">
      <c r="B54" t="s">
        <v>122</v>
      </c>
      <c r="C54" s="12">
        <v>25</v>
      </c>
      <c r="D54" s="8">
        <v>2.12</v>
      </c>
      <c r="E54" s="12">
        <v>5</v>
      </c>
      <c r="F54" s="8">
        <v>0.71</v>
      </c>
      <c r="G54" s="12">
        <v>20</v>
      </c>
      <c r="H54" s="8">
        <v>4.37</v>
      </c>
      <c r="I54" s="12">
        <v>0</v>
      </c>
    </row>
    <row r="55" spans="2:9" ht="15" customHeight="1" x14ac:dyDescent="0.2">
      <c r="B55" t="s">
        <v>137</v>
      </c>
      <c r="C55" s="12">
        <v>25</v>
      </c>
      <c r="D55" s="8">
        <v>2.12</v>
      </c>
      <c r="E55" s="12">
        <v>24</v>
      </c>
      <c r="F55" s="8">
        <v>3.39</v>
      </c>
      <c r="G55" s="12">
        <v>1</v>
      </c>
      <c r="H55" s="8">
        <v>0.22</v>
      </c>
      <c r="I55" s="12">
        <v>0</v>
      </c>
    </row>
    <row r="56" spans="2:9" ht="15" customHeight="1" x14ac:dyDescent="0.2">
      <c r="B56" t="s">
        <v>169</v>
      </c>
      <c r="C56" s="12">
        <v>22</v>
      </c>
      <c r="D56" s="8">
        <v>1.86</v>
      </c>
      <c r="E56" s="12">
        <v>12</v>
      </c>
      <c r="F56" s="8">
        <v>1.69</v>
      </c>
      <c r="G56" s="12">
        <v>10</v>
      </c>
      <c r="H56" s="8">
        <v>2.1800000000000002</v>
      </c>
      <c r="I56" s="12">
        <v>0</v>
      </c>
    </row>
    <row r="57" spans="2:9" ht="15" customHeight="1" x14ac:dyDescent="0.2">
      <c r="B57" t="s">
        <v>140</v>
      </c>
      <c r="C57" s="12">
        <v>20</v>
      </c>
      <c r="D57" s="8">
        <v>1.69</v>
      </c>
      <c r="E57" s="12">
        <v>16</v>
      </c>
      <c r="F57" s="8">
        <v>2.2599999999999998</v>
      </c>
      <c r="G57" s="12">
        <v>3</v>
      </c>
      <c r="H57" s="8">
        <v>0.66</v>
      </c>
      <c r="I57" s="12">
        <v>0</v>
      </c>
    </row>
    <row r="58" spans="2:9" ht="15" customHeight="1" x14ac:dyDescent="0.2">
      <c r="B58" t="s">
        <v>128</v>
      </c>
      <c r="C58" s="12">
        <v>19</v>
      </c>
      <c r="D58" s="8">
        <v>1.61</v>
      </c>
      <c r="E58" s="12">
        <v>9</v>
      </c>
      <c r="F58" s="8">
        <v>1.27</v>
      </c>
      <c r="G58" s="12">
        <v>10</v>
      </c>
      <c r="H58" s="8">
        <v>2.1800000000000002</v>
      </c>
      <c r="I58" s="12">
        <v>0</v>
      </c>
    </row>
    <row r="59" spans="2:9" ht="15" customHeight="1" x14ac:dyDescent="0.2">
      <c r="B59" t="s">
        <v>129</v>
      </c>
      <c r="C59" s="12">
        <v>19</v>
      </c>
      <c r="D59" s="8">
        <v>1.61</v>
      </c>
      <c r="E59" s="12">
        <v>14</v>
      </c>
      <c r="F59" s="8">
        <v>1.98</v>
      </c>
      <c r="G59" s="12">
        <v>5</v>
      </c>
      <c r="H59" s="8">
        <v>1.0900000000000001</v>
      </c>
      <c r="I59" s="12">
        <v>0</v>
      </c>
    </row>
    <row r="60" spans="2:9" ht="15" customHeight="1" x14ac:dyDescent="0.2">
      <c r="B60" t="s">
        <v>133</v>
      </c>
      <c r="C60" s="12">
        <v>19</v>
      </c>
      <c r="D60" s="8">
        <v>1.61</v>
      </c>
      <c r="E60" s="12">
        <v>17</v>
      </c>
      <c r="F60" s="8">
        <v>2.4</v>
      </c>
      <c r="G60" s="12">
        <v>2</v>
      </c>
      <c r="H60" s="8">
        <v>0.44</v>
      </c>
      <c r="I60" s="12">
        <v>0</v>
      </c>
    </row>
    <row r="61" spans="2:9" ht="15" customHeight="1" x14ac:dyDescent="0.2">
      <c r="B61" t="s">
        <v>141</v>
      </c>
      <c r="C61" s="12">
        <v>19</v>
      </c>
      <c r="D61" s="8">
        <v>1.61</v>
      </c>
      <c r="E61" s="12">
        <v>18</v>
      </c>
      <c r="F61" s="8">
        <v>2.54</v>
      </c>
      <c r="G61" s="12">
        <v>1</v>
      </c>
      <c r="H61" s="8">
        <v>0.22</v>
      </c>
      <c r="I61" s="12">
        <v>0</v>
      </c>
    </row>
    <row r="62" spans="2:9" ht="15" customHeight="1" x14ac:dyDescent="0.2">
      <c r="B62" t="s">
        <v>144</v>
      </c>
      <c r="C62" s="12">
        <v>17</v>
      </c>
      <c r="D62" s="8">
        <v>1.44</v>
      </c>
      <c r="E62" s="12">
        <v>12</v>
      </c>
      <c r="F62" s="8">
        <v>1.69</v>
      </c>
      <c r="G62" s="12">
        <v>4</v>
      </c>
      <c r="H62" s="8">
        <v>0.87</v>
      </c>
      <c r="I62" s="12">
        <v>0</v>
      </c>
    </row>
    <row r="63" spans="2:9" ht="15" customHeight="1" x14ac:dyDescent="0.2">
      <c r="B63" t="s">
        <v>123</v>
      </c>
      <c r="C63" s="12">
        <v>14</v>
      </c>
      <c r="D63" s="8">
        <v>1.19</v>
      </c>
      <c r="E63" s="12">
        <v>6</v>
      </c>
      <c r="F63" s="8">
        <v>0.85</v>
      </c>
      <c r="G63" s="12">
        <v>8</v>
      </c>
      <c r="H63" s="8">
        <v>1.75</v>
      </c>
      <c r="I63" s="12">
        <v>0</v>
      </c>
    </row>
    <row r="64" spans="2:9" ht="15" customHeight="1" x14ac:dyDescent="0.2">
      <c r="B64" t="s">
        <v>124</v>
      </c>
      <c r="C64" s="12">
        <v>14</v>
      </c>
      <c r="D64" s="8">
        <v>1.19</v>
      </c>
      <c r="E64" s="12">
        <v>9</v>
      </c>
      <c r="F64" s="8">
        <v>1.27</v>
      </c>
      <c r="G64" s="12">
        <v>5</v>
      </c>
      <c r="H64" s="8">
        <v>1.0900000000000001</v>
      </c>
      <c r="I64" s="12">
        <v>0</v>
      </c>
    </row>
    <row r="65" spans="2:9" ht="15" customHeight="1" x14ac:dyDescent="0.2">
      <c r="B65" t="s">
        <v>164</v>
      </c>
      <c r="C65" s="12">
        <v>14</v>
      </c>
      <c r="D65" s="8">
        <v>1.19</v>
      </c>
      <c r="E65" s="12">
        <v>10</v>
      </c>
      <c r="F65" s="8">
        <v>1.41</v>
      </c>
      <c r="G65" s="12">
        <v>4</v>
      </c>
      <c r="H65" s="8">
        <v>0.87</v>
      </c>
      <c r="I65" s="12">
        <v>0</v>
      </c>
    </row>
    <row r="66" spans="2:9" ht="15" customHeight="1" x14ac:dyDescent="0.2">
      <c r="B66" t="s">
        <v>179</v>
      </c>
      <c r="C66" s="12">
        <v>14</v>
      </c>
      <c r="D66" s="8">
        <v>1.19</v>
      </c>
      <c r="E66" s="12">
        <v>13</v>
      </c>
      <c r="F66" s="8">
        <v>1.84</v>
      </c>
      <c r="G66" s="12">
        <v>1</v>
      </c>
      <c r="H66" s="8">
        <v>0.22</v>
      </c>
      <c r="I66" s="12">
        <v>0</v>
      </c>
    </row>
    <row r="67" spans="2:9" ht="15" customHeight="1" x14ac:dyDescent="0.2">
      <c r="B67" t="s">
        <v>134</v>
      </c>
      <c r="C67" s="12">
        <v>14</v>
      </c>
      <c r="D67" s="8">
        <v>1.19</v>
      </c>
      <c r="E67" s="12">
        <v>13</v>
      </c>
      <c r="F67" s="8">
        <v>1.84</v>
      </c>
      <c r="G67" s="12">
        <v>1</v>
      </c>
      <c r="H67" s="8">
        <v>0.22</v>
      </c>
      <c r="I67" s="12">
        <v>0</v>
      </c>
    </row>
    <row r="69" spans="2:9" ht="15" customHeight="1" x14ac:dyDescent="0.2">
      <c r="B69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67080-EF55-469F-9A01-6122C996189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246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169</v>
      </c>
      <c r="D6" s="8">
        <v>12.92</v>
      </c>
      <c r="E6" s="12">
        <v>27</v>
      </c>
      <c r="F6" s="8">
        <v>4.96</v>
      </c>
      <c r="G6" s="12">
        <v>142</v>
      </c>
      <c r="H6" s="8">
        <v>18.61</v>
      </c>
      <c r="I6" s="12">
        <v>0</v>
      </c>
    </row>
    <row r="7" spans="2:9" ht="15" customHeight="1" x14ac:dyDescent="0.2">
      <c r="B7" t="s">
        <v>53</v>
      </c>
      <c r="C7" s="12">
        <v>81</v>
      </c>
      <c r="D7" s="8">
        <v>6.19</v>
      </c>
      <c r="E7" s="12">
        <v>24</v>
      </c>
      <c r="F7" s="8">
        <v>4.41</v>
      </c>
      <c r="G7" s="12">
        <v>57</v>
      </c>
      <c r="H7" s="8">
        <v>7.47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0.15</v>
      </c>
      <c r="E8" s="12">
        <v>0</v>
      </c>
      <c r="F8" s="8">
        <v>0</v>
      </c>
      <c r="G8" s="12">
        <v>2</v>
      </c>
      <c r="H8" s="8">
        <v>0.26</v>
      </c>
      <c r="I8" s="12">
        <v>0</v>
      </c>
    </row>
    <row r="9" spans="2:9" ht="15" customHeight="1" x14ac:dyDescent="0.2">
      <c r="B9" t="s">
        <v>55</v>
      </c>
      <c r="C9" s="12">
        <v>15</v>
      </c>
      <c r="D9" s="8">
        <v>1.1499999999999999</v>
      </c>
      <c r="E9" s="12">
        <v>0</v>
      </c>
      <c r="F9" s="8">
        <v>0</v>
      </c>
      <c r="G9" s="12">
        <v>15</v>
      </c>
      <c r="H9" s="8">
        <v>1.97</v>
      </c>
      <c r="I9" s="12">
        <v>0</v>
      </c>
    </row>
    <row r="10" spans="2:9" ht="15" customHeight="1" x14ac:dyDescent="0.2">
      <c r="B10" t="s">
        <v>56</v>
      </c>
      <c r="C10" s="12">
        <v>14</v>
      </c>
      <c r="D10" s="8">
        <v>1.07</v>
      </c>
      <c r="E10" s="12">
        <v>0</v>
      </c>
      <c r="F10" s="8">
        <v>0</v>
      </c>
      <c r="G10" s="12">
        <v>14</v>
      </c>
      <c r="H10" s="8">
        <v>1.83</v>
      </c>
      <c r="I10" s="12">
        <v>0</v>
      </c>
    </row>
    <row r="11" spans="2:9" ht="15" customHeight="1" x14ac:dyDescent="0.2">
      <c r="B11" t="s">
        <v>57</v>
      </c>
      <c r="C11" s="12">
        <v>323</v>
      </c>
      <c r="D11" s="8">
        <v>24.69</v>
      </c>
      <c r="E11" s="12">
        <v>148</v>
      </c>
      <c r="F11" s="8">
        <v>27.21</v>
      </c>
      <c r="G11" s="12">
        <v>175</v>
      </c>
      <c r="H11" s="8">
        <v>22.94</v>
      </c>
      <c r="I11" s="12">
        <v>0</v>
      </c>
    </row>
    <row r="12" spans="2:9" ht="15" customHeight="1" x14ac:dyDescent="0.2">
      <c r="B12" t="s">
        <v>58</v>
      </c>
      <c r="C12" s="12">
        <v>8</v>
      </c>
      <c r="D12" s="8">
        <v>0.61</v>
      </c>
      <c r="E12" s="12">
        <v>2</v>
      </c>
      <c r="F12" s="8">
        <v>0.37</v>
      </c>
      <c r="G12" s="12">
        <v>6</v>
      </c>
      <c r="H12" s="8">
        <v>0.79</v>
      </c>
      <c r="I12" s="12">
        <v>0</v>
      </c>
    </row>
    <row r="13" spans="2:9" ht="15" customHeight="1" x14ac:dyDescent="0.2">
      <c r="B13" t="s">
        <v>59</v>
      </c>
      <c r="C13" s="12">
        <v>135</v>
      </c>
      <c r="D13" s="8">
        <v>10.32</v>
      </c>
      <c r="E13" s="12">
        <v>15</v>
      </c>
      <c r="F13" s="8">
        <v>2.76</v>
      </c>
      <c r="G13" s="12">
        <v>120</v>
      </c>
      <c r="H13" s="8">
        <v>15.73</v>
      </c>
      <c r="I13" s="12">
        <v>0</v>
      </c>
    </row>
    <row r="14" spans="2:9" ht="15" customHeight="1" x14ac:dyDescent="0.2">
      <c r="B14" t="s">
        <v>60</v>
      </c>
      <c r="C14" s="12">
        <v>91</v>
      </c>
      <c r="D14" s="8">
        <v>6.96</v>
      </c>
      <c r="E14" s="12">
        <v>45</v>
      </c>
      <c r="F14" s="8">
        <v>8.27</v>
      </c>
      <c r="G14" s="12">
        <v>46</v>
      </c>
      <c r="H14" s="8">
        <v>6.03</v>
      </c>
      <c r="I14" s="12">
        <v>0</v>
      </c>
    </row>
    <row r="15" spans="2:9" ht="15" customHeight="1" x14ac:dyDescent="0.2">
      <c r="B15" t="s">
        <v>61</v>
      </c>
      <c r="C15" s="12">
        <v>132</v>
      </c>
      <c r="D15" s="8">
        <v>10.09</v>
      </c>
      <c r="E15" s="12">
        <v>89</v>
      </c>
      <c r="F15" s="8">
        <v>16.36</v>
      </c>
      <c r="G15" s="12">
        <v>43</v>
      </c>
      <c r="H15" s="8">
        <v>5.64</v>
      </c>
      <c r="I15" s="12">
        <v>0</v>
      </c>
    </row>
    <row r="16" spans="2:9" ht="15" customHeight="1" x14ac:dyDescent="0.2">
      <c r="B16" t="s">
        <v>62</v>
      </c>
      <c r="C16" s="12">
        <v>160</v>
      </c>
      <c r="D16" s="8">
        <v>12.23</v>
      </c>
      <c r="E16" s="12">
        <v>110</v>
      </c>
      <c r="F16" s="8">
        <v>20.22</v>
      </c>
      <c r="G16" s="12">
        <v>50</v>
      </c>
      <c r="H16" s="8">
        <v>6.55</v>
      </c>
      <c r="I16" s="12">
        <v>0</v>
      </c>
    </row>
    <row r="17" spans="2:9" ht="15" customHeight="1" x14ac:dyDescent="0.2">
      <c r="B17" t="s">
        <v>63</v>
      </c>
      <c r="C17" s="12">
        <v>58</v>
      </c>
      <c r="D17" s="8">
        <v>4.43</v>
      </c>
      <c r="E17" s="12">
        <v>34</v>
      </c>
      <c r="F17" s="8">
        <v>6.25</v>
      </c>
      <c r="G17" s="12">
        <v>23</v>
      </c>
      <c r="H17" s="8">
        <v>3.01</v>
      </c>
      <c r="I17" s="12">
        <v>0</v>
      </c>
    </row>
    <row r="18" spans="2:9" ht="15" customHeight="1" x14ac:dyDescent="0.2">
      <c r="B18" t="s">
        <v>64</v>
      </c>
      <c r="C18" s="12">
        <v>68</v>
      </c>
      <c r="D18" s="8">
        <v>5.2</v>
      </c>
      <c r="E18" s="12">
        <v>34</v>
      </c>
      <c r="F18" s="8">
        <v>6.25</v>
      </c>
      <c r="G18" s="12">
        <v>34</v>
      </c>
      <c r="H18" s="8">
        <v>4.46</v>
      </c>
      <c r="I18" s="12">
        <v>0</v>
      </c>
    </row>
    <row r="19" spans="2:9" ht="15" customHeight="1" x14ac:dyDescent="0.2">
      <c r="B19" t="s">
        <v>65</v>
      </c>
      <c r="C19" s="12">
        <v>52</v>
      </c>
      <c r="D19" s="8">
        <v>3.98</v>
      </c>
      <c r="E19" s="12">
        <v>16</v>
      </c>
      <c r="F19" s="8">
        <v>2.94</v>
      </c>
      <c r="G19" s="12">
        <v>36</v>
      </c>
      <c r="H19" s="8">
        <v>4.72</v>
      </c>
      <c r="I19" s="12">
        <v>0</v>
      </c>
    </row>
    <row r="20" spans="2:9" ht="15" customHeight="1" x14ac:dyDescent="0.2">
      <c r="B20" s="9" t="s">
        <v>215</v>
      </c>
      <c r="C20" s="12">
        <f>SUM(LTBL_28219[総数／事業所数])</f>
        <v>1308</v>
      </c>
      <c r="E20" s="12">
        <f>SUBTOTAL(109,LTBL_28219[個人／事業所数])</f>
        <v>544</v>
      </c>
      <c r="G20" s="12">
        <f>SUBTOTAL(109,LTBL_28219[法人／事業所数])</f>
        <v>763</v>
      </c>
      <c r="I20" s="12">
        <f>SUBTOTAL(109,LTBL_28219[法人以外の団体／事業所数])</f>
        <v>0</v>
      </c>
    </row>
    <row r="21" spans="2:9" ht="15" customHeight="1" x14ac:dyDescent="0.2">
      <c r="E21" s="11">
        <f>LTBL_28219[[#Totals],[個人／事業所数]]/LTBL_28219[[#Totals],[総数／事業所数]]</f>
        <v>0.41590214067278286</v>
      </c>
      <c r="G21" s="11">
        <f>LTBL_28219[[#Totals],[法人／事業所数]]/LTBL_28219[[#Totals],[総数／事業所数]]</f>
        <v>0.58333333333333337</v>
      </c>
      <c r="I21" s="11">
        <f>LTBL_28219[[#Totals],[法人以外の団体／事業所数]]/LTBL_28219[[#Totals],[総数／事業所数]]</f>
        <v>0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133</v>
      </c>
      <c r="D24" s="8">
        <v>10.17</v>
      </c>
      <c r="E24" s="12">
        <v>101</v>
      </c>
      <c r="F24" s="8">
        <v>18.57</v>
      </c>
      <c r="G24" s="12">
        <v>32</v>
      </c>
      <c r="H24" s="8">
        <v>4.1900000000000004</v>
      </c>
      <c r="I24" s="12">
        <v>0</v>
      </c>
    </row>
    <row r="25" spans="2:9" ht="15" customHeight="1" x14ac:dyDescent="0.2">
      <c r="B25" t="s">
        <v>88</v>
      </c>
      <c r="C25" s="12">
        <v>111</v>
      </c>
      <c r="D25" s="8">
        <v>8.49</v>
      </c>
      <c r="E25" s="12">
        <v>86</v>
      </c>
      <c r="F25" s="8">
        <v>15.81</v>
      </c>
      <c r="G25" s="12">
        <v>25</v>
      </c>
      <c r="H25" s="8">
        <v>3.28</v>
      </c>
      <c r="I25" s="12">
        <v>0</v>
      </c>
    </row>
    <row r="26" spans="2:9" ht="15" customHeight="1" x14ac:dyDescent="0.2">
      <c r="B26" t="s">
        <v>85</v>
      </c>
      <c r="C26" s="12">
        <v>108</v>
      </c>
      <c r="D26" s="8">
        <v>8.26</v>
      </c>
      <c r="E26" s="12">
        <v>13</v>
      </c>
      <c r="F26" s="8">
        <v>2.39</v>
      </c>
      <c r="G26" s="12">
        <v>95</v>
      </c>
      <c r="H26" s="8">
        <v>12.45</v>
      </c>
      <c r="I26" s="12">
        <v>0</v>
      </c>
    </row>
    <row r="27" spans="2:9" ht="15" customHeight="1" x14ac:dyDescent="0.2">
      <c r="B27" t="s">
        <v>83</v>
      </c>
      <c r="C27" s="12">
        <v>103</v>
      </c>
      <c r="D27" s="8">
        <v>7.87</v>
      </c>
      <c r="E27" s="12">
        <v>55</v>
      </c>
      <c r="F27" s="8">
        <v>10.11</v>
      </c>
      <c r="G27" s="12">
        <v>48</v>
      </c>
      <c r="H27" s="8">
        <v>6.29</v>
      </c>
      <c r="I27" s="12">
        <v>0</v>
      </c>
    </row>
    <row r="28" spans="2:9" ht="15" customHeight="1" x14ac:dyDescent="0.2">
      <c r="B28" t="s">
        <v>74</v>
      </c>
      <c r="C28" s="12">
        <v>98</v>
      </c>
      <c r="D28" s="8">
        <v>7.49</v>
      </c>
      <c r="E28" s="12">
        <v>10</v>
      </c>
      <c r="F28" s="8">
        <v>1.84</v>
      </c>
      <c r="G28" s="12">
        <v>88</v>
      </c>
      <c r="H28" s="8">
        <v>11.53</v>
      </c>
      <c r="I28" s="12">
        <v>0</v>
      </c>
    </row>
    <row r="29" spans="2:9" ht="15" customHeight="1" x14ac:dyDescent="0.2">
      <c r="B29" t="s">
        <v>81</v>
      </c>
      <c r="C29" s="12">
        <v>58</v>
      </c>
      <c r="D29" s="8">
        <v>4.43</v>
      </c>
      <c r="E29" s="12">
        <v>42</v>
      </c>
      <c r="F29" s="8">
        <v>7.72</v>
      </c>
      <c r="G29" s="12">
        <v>16</v>
      </c>
      <c r="H29" s="8">
        <v>2.1</v>
      </c>
      <c r="I29" s="12">
        <v>0</v>
      </c>
    </row>
    <row r="30" spans="2:9" ht="15" customHeight="1" x14ac:dyDescent="0.2">
      <c r="B30" t="s">
        <v>86</v>
      </c>
      <c r="C30" s="12">
        <v>58</v>
      </c>
      <c r="D30" s="8">
        <v>4.43</v>
      </c>
      <c r="E30" s="12">
        <v>36</v>
      </c>
      <c r="F30" s="8">
        <v>6.62</v>
      </c>
      <c r="G30" s="12">
        <v>22</v>
      </c>
      <c r="H30" s="8">
        <v>2.88</v>
      </c>
      <c r="I30" s="12">
        <v>0</v>
      </c>
    </row>
    <row r="31" spans="2:9" ht="15" customHeight="1" x14ac:dyDescent="0.2">
      <c r="B31" t="s">
        <v>91</v>
      </c>
      <c r="C31" s="12">
        <v>58</v>
      </c>
      <c r="D31" s="8">
        <v>4.43</v>
      </c>
      <c r="E31" s="12">
        <v>34</v>
      </c>
      <c r="F31" s="8">
        <v>6.25</v>
      </c>
      <c r="G31" s="12">
        <v>23</v>
      </c>
      <c r="H31" s="8">
        <v>3.01</v>
      </c>
      <c r="I31" s="12">
        <v>0</v>
      </c>
    </row>
    <row r="32" spans="2:9" ht="15" customHeight="1" x14ac:dyDescent="0.2">
      <c r="B32" t="s">
        <v>82</v>
      </c>
      <c r="C32" s="12">
        <v>44</v>
      </c>
      <c r="D32" s="8">
        <v>3.36</v>
      </c>
      <c r="E32" s="12">
        <v>24</v>
      </c>
      <c r="F32" s="8">
        <v>4.41</v>
      </c>
      <c r="G32" s="12">
        <v>20</v>
      </c>
      <c r="H32" s="8">
        <v>2.62</v>
      </c>
      <c r="I32" s="12">
        <v>0</v>
      </c>
    </row>
    <row r="33" spans="2:9" ht="15" customHeight="1" x14ac:dyDescent="0.2">
      <c r="B33" t="s">
        <v>76</v>
      </c>
      <c r="C33" s="12">
        <v>42</v>
      </c>
      <c r="D33" s="8">
        <v>3.21</v>
      </c>
      <c r="E33" s="12">
        <v>10</v>
      </c>
      <c r="F33" s="8">
        <v>1.84</v>
      </c>
      <c r="G33" s="12">
        <v>32</v>
      </c>
      <c r="H33" s="8">
        <v>4.1900000000000004</v>
      </c>
      <c r="I33" s="12">
        <v>0</v>
      </c>
    </row>
    <row r="34" spans="2:9" ht="15" customHeight="1" x14ac:dyDescent="0.2">
      <c r="B34" t="s">
        <v>92</v>
      </c>
      <c r="C34" s="12">
        <v>41</v>
      </c>
      <c r="D34" s="8">
        <v>3.13</v>
      </c>
      <c r="E34" s="12">
        <v>34</v>
      </c>
      <c r="F34" s="8">
        <v>6.25</v>
      </c>
      <c r="G34" s="12">
        <v>7</v>
      </c>
      <c r="H34" s="8">
        <v>0.92</v>
      </c>
      <c r="I34" s="12">
        <v>0</v>
      </c>
    </row>
    <row r="35" spans="2:9" ht="15" customHeight="1" x14ac:dyDescent="0.2">
      <c r="B35" t="s">
        <v>87</v>
      </c>
      <c r="C35" s="12">
        <v>31</v>
      </c>
      <c r="D35" s="8">
        <v>2.37</v>
      </c>
      <c r="E35" s="12">
        <v>9</v>
      </c>
      <c r="F35" s="8">
        <v>1.65</v>
      </c>
      <c r="G35" s="12">
        <v>22</v>
      </c>
      <c r="H35" s="8">
        <v>2.88</v>
      </c>
      <c r="I35" s="12">
        <v>0</v>
      </c>
    </row>
    <row r="36" spans="2:9" ht="15" customHeight="1" x14ac:dyDescent="0.2">
      <c r="B36" t="s">
        <v>75</v>
      </c>
      <c r="C36" s="12">
        <v>29</v>
      </c>
      <c r="D36" s="8">
        <v>2.2200000000000002</v>
      </c>
      <c r="E36" s="12">
        <v>7</v>
      </c>
      <c r="F36" s="8">
        <v>1.29</v>
      </c>
      <c r="G36" s="12">
        <v>22</v>
      </c>
      <c r="H36" s="8">
        <v>2.88</v>
      </c>
      <c r="I36" s="12">
        <v>0</v>
      </c>
    </row>
    <row r="37" spans="2:9" ht="15" customHeight="1" x14ac:dyDescent="0.2">
      <c r="B37" t="s">
        <v>80</v>
      </c>
      <c r="C37" s="12">
        <v>27</v>
      </c>
      <c r="D37" s="8">
        <v>2.06</v>
      </c>
      <c r="E37" s="12">
        <v>18</v>
      </c>
      <c r="F37" s="8">
        <v>3.31</v>
      </c>
      <c r="G37" s="12">
        <v>9</v>
      </c>
      <c r="H37" s="8">
        <v>1.18</v>
      </c>
      <c r="I37" s="12">
        <v>0</v>
      </c>
    </row>
    <row r="38" spans="2:9" ht="15" customHeight="1" x14ac:dyDescent="0.2">
      <c r="B38" t="s">
        <v>93</v>
      </c>
      <c r="C38" s="12">
        <v>27</v>
      </c>
      <c r="D38" s="8">
        <v>2.06</v>
      </c>
      <c r="E38" s="12">
        <v>0</v>
      </c>
      <c r="F38" s="8">
        <v>0</v>
      </c>
      <c r="G38" s="12">
        <v>27</v>
      </c>
      <c r="H38" s="8">
        <v>3.54</v>
      </c>
      <c r="I38" s="12">
        <v>0</v>
      </c>
    </row>
    <row r="39" spans="2:9" ht="15" customHeight="1" x14ac:dyDescent="0.2">
      <c r="B39" t="s">
        <v>79</v>
      </c>
      <c r="C39" s="12">
        <v>24</v>
      </c>
      <c r="D39" s="8">
        <v>1.83</v>
      </c>
      <c r="E39" s="12">
        <v>0</v>
      </c>
      <c r="F39" s="8">
        <v>0</v>
      </c>
      <c r="G39" s="12">
        <v>24</v>
      </c>
      <c r="H39" s="8">
        <v>3.15</v>
      </c>
      <c r="I39" s="12">
        <v>0</v>
      </c>
    </row>
    <row r="40" spans="2:9" ht="15" customHeight="1" x14ac:dyDescent="0.2">
      <c r="B40" t="s">
        <v>97</v>
      </c>
      <c r="C40" s="12">
        <v>23</v>
      </c>
      <c r="D40" s="8">
        <v>1.76</v>
      </c>
      <c r="E40" s="12">
        <v>5</v>
      </c>
      <c r="F40" s="8">
        <v>0.92</v>
      </c>
      <c r="G40" s="12">
        <v>18</v>
      </c>
      <c r="H40" s="8">
        <v>2.36</v>
      </c>
      <c r="I40" s="12">
        <v>0</v>
      </c>
    </row>
    <row r="41" spans="2:9" ht="15" customHeight="1" x14ac:dyDescent="0.2">
      <c r="B41" t="s">
        <v>78</v>
      </c>
      <c r="C41" s="12">
        <v>22</v>
      </c>
      <c r="D41" s="8">
        <v>1.68</v>
      </c>
      <c r="E41" s="12">
        <v>0</v>
      </c>
      <c r="F41" s="8">
        <v>0</v>
      </c>
      <c r="G41" s="12">
        <v>22</v>
      </c>
      <c r="H41" s="8">
        <v>2.88</v>
      </c>
      <c r="I41" s="12">
        <v>0</v>
      </c>
    </row>
    <row r="42" spans="2:9" ht="15" customHeight="1" x14ac:dyDescent="0.2">
      <c r="B42" t="s">
        <v>90</v>
      </c>
      <c r="C42" s="12">
        <v>21</v>
      </c>
      <c r="D42" s="8">
        <v>1.61</v>
      </c>
      <c r="E42" s="12">
        <v>7</v>
      </c>
      <c r="F42" s="8">
        <v>1.29</v>
      </c>
      <c r="G42" s="12">
        <v>14</v>
      </c>
      <c r="H42" s="8">
        <v>1.83</v>
      </c>
      <c r="I42" s="12">
        <v>0</v>
      </c>
    </row>
    <row r="43" spans="2:9" ht="15" customHeight="1" x14ac:dyDescent="0.2">
      <c r="B43" t="s">
        <v>104</v>
      </c>
      <c r="C43" s="12">
        <v>17</v>
      </c>
      <c r="D43" s="8">
        <v>1.3</v>
      </c>
      <c r="E43" s="12">
        <v>11</v>
      </c>
      <c r="F43" s="8">
        <v>2.02</v>
      </c>
      <c r="G43" s="12">
        <v>6</v>
      </c>
      <c r="H43" s="8">
        <v>0.79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70</v>
      </c>
      <c r="D47" s="8">
        <v>5.35</v>
      </c>
      <c r="E47" s="12">
        <v>57</v>
      </c>
      <c r="F47" s="8">
        <v>10.48</v>
      </c>
      <c r="G47" s="12">
        <v>13</v>
      </c>
      <c r="H47" s="8">
        <v>1.7</v>
      </c>
      <c r="I47" s="12">
        <v>0</v>
      </c>
    </row>
    <row r="48" spans="2:9" ht="15" customHeight="1" x14ac:dyDescent="0.2">
      <c r="B48" t="s">
        <v>122</v>
      </c>
      <c r="C48" s="12">
        <v>52</v>
      </c>
      <c r="D48" s="8">
        <v>3.98</v>
      </c>
      <c r="E48" s="12">
        <v>2</v>
      </c>
      <c r="F48" s="8">
        <v>0.37</v>
      </c>
      <c r="G48" s="12">
        <v>50</v>
      </c>
      <c r="H48" s="8">
        <v>6.55</v>
      </c>
      <c r="I48" s="12">
        <v>0</v>
      </c>
    </row>
    <row r="49" spans="2:9" ht="15" customHeight="1" x14ac:dyDescent="0.2">
      <c r="B49" t="s">
        <v>132</v>
      </c>
      <c r="C49" s="12">
        <v>51</v>
      </c>
      <c r="D49" s="8">
        <v>3.9</v>
      </c>
      <c r="E49" s="12">
        <v>2</v>
      </c>
      <c r="F49" s="8">
        <v>0.37</v>
      </c>
      <c r="G49" s="12">
        <v>49</v>
      </c>
      <c r="H49" s="8">
        <v>6.42</v>
      </c>
      <c r="I49" s="12">
        <v>0</v>
      </c>
    </row>
    <row r="50" spans="2:9" ht="15" customHeight="1" x14ac:dyDescent="0.2">
      <c r="B50" t="s">
        <v>133</v>
      </c>
      <c r="C50" s="12">
        <v>40</v>
      </c>
      <c r="D50" s="8">
        <v>3.06</v>
      </c>
      <c r="E50" s="12">
        <v>31</v>
      </c>
      <c r="F50" s="8">
        <v>5.7</v>
      </c>
      <c r="G50" s="12">
        <v>9</v>
      </c>
      <c r="H50" s="8">
        <v>1.18</v>
      </c>
      <c r="I50" s="12">
        <v>0</v>
      </c>
    </row>
    <row r="51" spans="2:9" ht="15" customHeight="1" x14ac:dyDescent="0.2">
      <c r="B51" t="s">
        <v>129</v>
      </c>
      <c r="C51" s="12">
        <v>35</v>
      </c>
      <c r="D51" s="8">
        <v>2.68</v>
      </c>
      <c r="E51" s="12">
        <v>22</v>
      </c>
      <c r="F51" s="8">
        <v>4.04</v>
      </c>
      <c r="G51" s="12">
        <v>13</v>
      </c>
      <c r="H51" s="8">
        <v>1.7</v>
      </c>
      <c r="I51" s="12">
        <v>0</v>
      </c>
    </row>
    <row r="52" spans="2:9" ht="15" customHeight="1" x14ac:dyDescent="0.2">
      <c r="B52" t="s">
        <v>131</v>
      </c>
      <c r="C52" s="12">
        <v>35</v>
      </c>
      <c r="D52" s="8">
        <v>2.68</v>
      </c>
      <c r="E52" s="12">
        <v>1</v>
      </c>
      <c r="F52" s="8">
        <v>0.18</v>
      </c>
      <c r="G52" s="12">
        <v>34</v>
      </c>
      <c r="H52" s="8">
        <v>4.46</v>
      </c>
      <c r="I52" s="12">
        <v>0</v>
      </c>
    </row>
    <row r="53" spans="2:9" ht="15" customHeight="1" x14ac:dyDescent="0.2">
      <c r="B53" t="s">
        <v>141</v>
      </c>
      <c r="C53" s="12">
        <v>30</v>
      </c>
      <c r="D53" s="8">
        <v>2.29</v>
      </c>
      <c r="E53" s="12">
        <v>25</v>
      </c>
      <c r="F53" s="8">
        <v>4.5999999999999996</v>
      </c>
      <c r="G53" s="12">
        <v>5</v>
      </c>
      <c r="H53" s="8">
        <v>0.66</v>
      </c>
      <c r="I53" s="12">
        <v>0</v>
      </c>
    </row>
    <row r="54" spans="2:9" ht="15" customHeight="1" x14ac:dyDescent="0.2">
      <c r="B54" t="s">
        <v>137</v>
      </c>
      <c r="C54" s="12">
        <v>29</v>
      </c>
      <c r="D54" s="8">
        <v>2.2200000000000002</v>
      </c>
      <c r="E54" s="12">
        <v>25</v>
      </c>
      <c r="F54" s="8">
        <v>4.5999999999999996</v>
      </c>
      <c r="G54" s="12">
        <v>4</v>
      </c>
      <c r="H54" s="8">
        <v>0.52</v>
      </c>
      <c r="I54" s="12">
        <v>0</v>
      </c>
    </row>
    <row r="55" spans="2:9" ht="15" customHeight="1" x14ac:dyDescent="0.2">
      <c r="B55" t="s">
        <v>127</v>
      </c>
      <c r="C55" s="12">
        <v>27</v>
      </c>
      <c r="D55" s="8">
        <v>2.06</v>
      </c>
      <c r="E55" s="12">
        <v>16</v>
      </c>
      <c r="F55" s="8">
        <v>2.94</v>
      </c>
      <c r="G55" s="12">
        <v>11</v>
      </c>
      <c r="H55" s="8">
        <v>1.44</v>
      </c>
      <c r="I55" s="12">
        <v>0</v>
      </c>
    </row>
    <row r="56" spans="2:9" ht="15" customHeight="1" x14ac:dyDescent="0.2">
      <c r="B56" t="s">
        <v>140</v>
      </c>
      <c r="C56" s="12">
        <v>27</v>
      </c>
      <c r="D56" s="8">
        <v>2.06</v>
      </c>
      <c r="E56" s="12">
        <v>18</v>
      </c>
      <c r="F56" s="8">
        <v>3.31</v>
      </c>
      <c r="G56" s="12">
        <v>9</v>
      </c>
      <c r="H56" s="8">
        <v>1.18</v>
      </c>
      <c r="I56" s="12">
        <v>0</v>
      </c>
    </row>
    <row r="57" spans="2:9" ht="15" customHeight="1" x14ac:dyDescent="0.2">
      <c r="B57" t="s">
        <v>126</v>
      </c>
      <c r="C57" s="12">
        <v>23</v>
      </c>
      <c r="D57" s="8">
        <v>1.76</v>
      </c>
      <c r="E57" s="12">
        <v>16</v>
      </c>
      <c r="F57" s="8">
        <v>2.94</v>
      </c>
      <c r="G57" s="12">
        <v>7</v>
      </c>
      <c r="H57" s="8">
        <v>0.92</v>
      </c>
      <c r="I57" s="12">
        <v>0</v>
      </c>
    </row>
    <row r="58" spans="2:9" ht="15" customHeight="1" x14ac:dyDescent="0.2">
      <c r="B58" t="s">
        <v>136</v>
      </c>
      <c r="C58" s="12">
        <v>23</v>
      </c>
      <c r="D58" s="8">
        <v>1.76</v>
      </c>
      <c r="E58" s="12">
        <v>18</v>
      </c>
      <c r="F58" s="8">
        <v>3.31</v>
      </c>
      <c r="G58" s="12">
        <v>5</v>
      </c>
      <c r="H58" s="8">
        <v>0.66</v>
      </c>
      <c r="I58" s="12">
        <v>0</v>
      </c>
    </row>
    <row r="59" spans="2:9" ht="15" customHeight="1" x14ac:dyDescent="0.2">
      <c r="B59" t="s">
        <v>144</v>
      </c>
      <c r="C59" s="12">
        <v>22</v>
      </c>
      <c r="D59" s="8">
        <v>1.68</v>
      </c>
      <c r="E59" s="12">
        <v>4</v>
      </c>
      <c r="F59" s="8">
        <v>0.74</v>
      </c>
      <c r="G59" s="12">
        <v>18</v>
      </c>
      <c r="H59" s="8">
        <v>2.36</v>
      </c>
      <c r="I59" s="12">
        <v>0</v>
      </c>
    </row>
    <row r="60" spans="2:9" ht="15" customHeight="1" x14ac:dyDescent="0.2">
      <c r="B60" t="s">
        <v>146</v>
      </c>
      <c r="C60" s="12">
        <v>21</v>
      </c>
      <c r="D60" s="8">
        <v>1.61</v>
      </c>
      <c r="E60" s="12">
        <v>8</v>
      </c>
      <c r="F60" s="8">
        <v>1.47</v>
      </c>
      <c r="G60" s="12">
        <v>13</v>
      </c>
      <c r="H60" s="8">
        <v>1.7</v>
      </c>
      <c r="I60" s="12">
        <v>0</v>
      </c>
    </row>
    <row r="61" spans="2:9" ht="15" customHeight="1" x14ac:dyDescent="0.2">
      <c r="B61" t="s">
        <v>139</v>
      </c>
      <c r="C61" s="12">
        <v>20</v>
      </c>
      <c r="D61" s="8">
        <v>1.53</v>
      </c>
      <c r="E61" s="12">
        <v>15</v>
      </c>
      <c r="F61" s="8">
        <v>2.76</v>
      </c>
      <c r="G61" s="12">
        <v>5</v>
      </c>
      <c r="H61" s="8">
        <v>0.66</v>
      </c>
      <c r="I61" s="12">
        <v>0</v>
      </c>
    </row>
    <row r="62" spans="2:9" ht="15" customHeight="1" x14ac:dyDescent="0.2">
      <c r="B62" t="s">
        <v>150</v>
      </c>
      <c r="C62" s="12">
        <v>19</v>
      </c>
      <c r="D62" s="8">
        <v>1.45</v>
      </c>
      <c r="E62" s="12">
        <v>4</v>
      </c>
      <c r="F62" s="8">
        <v>0.74</v>
      </c>
      <c r="G62" s="12">
        <v>15</v>
      </c>
      <c r="H62" s="8">
        <v>1.97</v>
      </c>
      <c r="I62" s="12">
        <v>0</v>
      </c>
    </row>
    <row r="63" spans="2:9" ht="15" customHeight="1" x14ac:dyDescent="0.2">
      <c r="B63" t="s">
        <v>165</v>
      </c>
      <c r="C63" s="12">
        <v>17</v>
      </c>
      <c r="D63" s="8">
        <v>1.3</v>
      </c>
      <c r="E63" s="12">
        <v>11</v>
      </c>
      <c r="F63" s="8">
        <v>2.02</v>
      </c>
      <c r="G63" s="12">
        <v>6</v>
      </c>
      <c r="H63" s="8">
        <v>0.79</v>
      </c>
      <c r="I63" s="12">
        <v>0</v>
      </c>
    </row>
    <row r="64" spans="2:9" ht="15" customHeight="1" x14ac:dyDescent="0.2">
      <c r="B64" t="s">
        <v>124</v>
      </c>
      <c r="C64" s="12">
        <v>16</v>
      </c>
      <c r="D64" s="8">
        <v>1.22</v>
      </c>
      <c r="E64" s="12">
        <v>3</v>
      </c>
      <c r="F64" s="8">
        <v>0.55000000000000004</v>
      </c>
      <c r="G64" s="12">
        <v>13</v>
      </c>
      <c r="H64" s="8">
        <v>1.7</v>
      </c>
      <c r="I64" s="12">
        <v>0</v>
      </c>
    </row>
    <row r="65" spans="2:9" ht="15" customHeight="1" x14ac:dyDescent="0.2">
      <c r="B65" t="s">
        <v>160</v>
      </c>
      <c r="C65" s="12">
        <v>16</v>
      </c>
      <c r="D65" s="8">
        <v>1.22</v>
      </c>
      <c r="E65" s="12">
        <v>0</v>
      </c>
      <c r="F65" s="8">
        <v>0</v>
      </c>
      <c r="G65" s="12">
        <v>16</v>
      </c>
      <c r="H65" s="8">
        <v>2.1</v>
      </c>
      <c r="I65" s="12">
        <v>0</v>
      </c>
    </row>
    <row r="66" spans="2:9" ht="15" customHeight="1" x14ac:dyDescent="0.2">
      <c r="B66" t="s">
        <v>180</v>
      </c>
      <c r="C66" s="12">
        <v>16</v>
      </c>
      <c r="D66" s="8">
        <v>1.22</v>
      </c>
      <c r="E66" s="12">
        <v>16</v>
      </c>
      <c r="F66" s="8">
        <v>2.94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FBAF-80CB-454F-9C3B-4A70FA548C5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247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155</v>
      </c>
      <c r="D6" s="8">
        <v>15.06</v>
      </c>
      <c r="E6" s="12">
        <v>73</v>
      </c>
      <c r="F6" s="8">
        <v>14.07</v>
      </c>
      <c r="G6" s="12">
        <v>82</v>
      </c>
      <c r="H6" s="8">
        <v>16.27</v>
      </c>
      <c r="I6" s="12">
        <v>0</v>
      </c>
    </row>
    <row r="7" spans="2:9" ht="15" customHeight="1" x14ac:dyDescent="0.2">
      <c r="B7" t="s">
        <v>53</v>
      </c>
      <c r="C7" s="12">
        <v>303</v>
      </c>
      <c r="D7" s="8">
        <v>29.45</v>
      </c>
      <c r="E7" s="12">
        <v>148</v>
      </c>
      <c r="F7" s="8">
        <v>28.52</v>
      </c>
      <c r="G7" s="12">
        <v>155</v>
      </c>
      <c r="H7" s="8">
        <v>30.75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0.19</v>
      </c>
      <c r="E8" s="12">
        <v>0</v>
      </c>
      <c r="F8" s="8">
        <v>0</v>
      </c>
      <c r="G8" s="12">
        <v>2</v>
      </c>
      <c r="H8" s="8">
        <v>0.4</v>
      </c>
      <c r="I8" s="12">
        <v>0</v>
      </c>
    </row>
    <row r="9" spans="2:9" ht="15" customHeight="1" x14ac:dyDescent="0.2">
      <c r="B9" t="s">
        <v>55</v>
      </c>
      <c r="C9" s="12">
        <v>9</v>
      </c>
      <c r="D9" s="8">
        <v>0.87</v>
      </c>
      <c r="E9" s="12">
        <v>0</v>
      </c>
      <c r="F9" s="8">
        <v>0</v>
      </c>
      <c r="G9" s="12">
        <v>9</v>
      </c>
      <c r="H9" s="8">
        <v>1.79</v>
      </c>
      <c r="I9" s="12">
        <v>0</v>
      </c>
    </row>
    <row r="10" spans="2:9" ht="15" customHeight="1" x14ac:dyDescent="0.2">
      <c r="B10" t="s">
        <v>56</v>
      </c>
      <c r="C10" s="12">
        <v>12</v>
      </c>
      <c r="D10" s="8">
        <v>1.17</v>
      </c>
      <c r="E10" s="12">
        <v>1</v>
      </c>
      <c r="F10" s="8">
        <v>0.19</v>
      </c>
      <c r="G10" s="12">
        <v>11</v>
      </c>
      <c r="H10" s="8">
        <v>2.1800000000000002</v>
      </c>
      <c r="I10" s="12">
        <v>0</v>
      </c>
    </row>
    <row r="11" spans="2:9" ht="15" customHeight="1" x14ac:dyDescent="0.2">
      <c r="B11" t="s">
        <v>57</v>
      </c>
      <c r="C11" s="12">
        <v>235</v>
      </c>
      <c r="D11" s="8">
        <v>22.84</v>
      </c>
      <c r="E11" s="12">
        <v>104</v>
      </c>
      <c r="F11" s="8">
        <v>20.04</v>
      </c>
      <c r="G11" s="12">
        <v>131</v>
      </c>
      <c r="H11" s="8">
        <v>25.99</v>
      </c>
      <c r="I11" s="12">
        <v>0</v>
      </c>
    </row>
    <row r="12" spans="2:9" ht="15" customHeight="1" x14ac:dyDescent="0.2">
      <c r="B12" t="s">
        <v>58</v>
      </c>
      <c r="C12" s="12">
        <v>11</v>
      </c>
      <c r="D12" s="8">
        <v>1.07</v>
      </c>
      <c r="E12" s="12">
        <v>5</v>
      </c>
      <c r="F12" s="8">
        <v>0.96</v>
      </c>
      <c r="G12" s="12">
        <v>6</v>
      </c>
      <c r="H12" s="8">
        <v>1.19</v>
      </c>
      <c r="I12" s="12">
        <v>0</v>
      </c>
    </row>
    <row r="13" spans="2:9" ht="15" customHeight="1" x14ac:dyDescent="0.2">
      <c r="B13" t="s">
        <v>59</v>
      </c>
      <c r="C13" s="12">
        <v>34</v>
      </c>
      <c r="D13" s="8">
        <v>3.3</v>
      </c>
      <c r="E13" s="12">
        <v>2</v>
      </c>
      <c r="F13" s="8">
        <v>0.39</v>
      </c>
      <c r="G13" s="12">
        <v>32</v>
      </c>
      <c r="H13" s="8">
        <v>6.35</v>
      </c>
      <c r="I13" s="12">
        <v>0</v>
      </c>
    </row>
    <row r="14" spans="2:9" ht="15" customHeight="1" x14ac:dyDescent="0.2">
      <c r="B14" t="s">
        <v>60</v>
      </c>
      <c r="C14" s="12">
        <v>33</v>
      </c>
      <c r="D14" s="8">
        <v>3.21</v>
      </c>
      <c r="E14" s="12">
        <v>20</v>
      </c>
      <c r="F14" s="8">
        <v>3.85</v>
      </c>
      <c r="G14" s="12">
        <v>13</v>
      </c>
      <c r="H14" s="8">
        <v>2.58</v>
      </c>
      <c r="I14" s="12">
        <v>0</v>
      </c>
    </row>
    <row r="15" spans="2:9" ht="15" customHeight="1" x14ac:dyDescent="0.2">
      <c r="B15" t="s">
        <v>61</v>
      </c>
      <c r="C15" s="12">
        <v>56</v>
      </c>
      <c r="D15" s="8">
        <v>5.44</v>
      </c>
      <c r="E15" s="12">
        <v>44</v>
      </c>
      <c r="F15" s="8">
        <v>8.48</v>
      </c>
      <c r="G15" s="12">
        <v>12</v>
      </c>
      <c r="H15" s="8">
        <v>2.38</v>
      </c>
      <c r="I15" s="12">
        <v>0</v>
      </c>
    </row>
    <row r="16" spans="2:9" ht="15" customHeight="1" x14ac:dyDescent="0.2">
      <c r="B16" t="s">
        <v>62</v>
      </c>
      <c r="C16" s="12">
        <v>99</v>
      </c>
      <c r="D16" s="8">
        <v>9.6199999999999992</v>
      </c>
      <c r="E16" s="12">
        <v>74</v>
      </c>
      <c r="F16" s="8">
        <v>14.26</v>
      </c>
      <c r="G16" s="12">
        <v>25</v>
      </c>
      <c r="H16" s="8">
        <v>4.96</v>
      </c>
      <c r="I16" s="12">
        <v>0</v>
      </c>
    </row>
    <row r="17" spans="2:9" ht="15" customHeight="1" x14ac:dyDescent="0.2">
      <c r="B17" t="s">
        <v>63</v>
      </c>
      <c r="C17" s="12">
        <v>28</v>
      </c>
      <c r="D17" s="8">
        <v>2.72</v>
      </c>
      <c r="E17" s="12">
        <v>16</v>
      </c>
      <c r="F17" s="8">
        <v>3.08</v>
      </c>
      <c r="G17" s="12">
        <v>7</v>
      </c>
      <c r="H17" s="8">
        <v>1.39</v>
      </c>
      <c r="I17" s="12">
        <v>0</v>
      </c>
    </row>
    <row r="18" spans="2:9" ht="15" customHeight="1" x14ac:dyDescent="0.2">
      <c r="B18" t="s">
        <v>64</v>
      </c>
      <c r="C18" s="12">
        <v>23</v>
      </c>
      <c r="D18" s="8">
        <v>2.2400000000000002</v>
      </c>
      <c r="E18" s="12">
        <v>16</v>
      </c>
      <c r="F18" s="8">
        <v>3.08</v>
      </c>
      <c r="G18" s="12">
        <v>7</v>
      </c>
      <c r="H18" s="8">
        <v>1.39</v>
      </c>
      <c r="I18" s="12">
        <v>0</v>
      </c>
    </row>
    <row r="19" spans="2:9" ht="15" customHeight="1" x14ac:dyDescent="0.2">
      <c r="B19" t="s">
        <v>65</v>
      </c>
      <c r="C19" s="12">
        <v>29</v>
      </c>
      <c r="D19" s="8">
        <v>2.82</v>
      </c>
      <c r="E19" s="12">
        <v>16</v>
      </c>
      <c r="F19" s="8">
        <v>3.08</v>
      </c>
      <c r="G19" s="12">
        <v>12</v>
      </c>
      <c r="H19" s="8">
        <v>2.38</v>
      </c>
      <c r="I19" s="12">
        <v>0</v>
      </c>
    </row>
    <row r="20" spans="2:9" ht="15" customHeight="1" x14ac:dyDescent="0.2">
      <c r="B20" s="9" t="s">
        <v>215</v>
      </c>
      <c r="C20" s="12">
        <f>SUM(LTBL_28220[総数／事業所数])</f>
        <v>1029</v>
      </c>
      <c r="E20" s="12">
        <f>SUBTOTAL(109,LTBL_28220[個人／事業所数])</f>
        <v>519</v>
      </c>
      <c r="G20" s="12">
        <f>SUBTOTAL(109,LTBL_28220[法人／事業所数])</f>
        <v>504</v>
      </c>
      <c r="I20" s="12">
        <f>SUBTOTAL(109,LTBL_28220[法人以外の団体／事業所数])</f>
        <v>0</v>
      </c>
    </row>
    <row r="21" spans="2:9" ht="15" customHeight="1" x14ac:dyDescent="0.2">
      <c r="E21" s="11">
        <f>LTBL_28220[[#Totals],[個人／事業所数]]/LTBL_28220[[#Totals],[総数／事業所数]]</f>
        <v>0.50437317784256563</v>
      </c>
      <c r="G21" s="11">
        <f>LTBL_28220[[#Totals],[法人／事業所数]]/LTBL_28220[[#Totals],[総数／事業所数]]</f>
        <v>0.48979591836734693</v>
      </c>
      <c r="I21" s="11">
        <f>LTBL_28220[[#Totals],[法人以外の団体／事業所数]]/LTBL_28220[[#Totals],[総数／事業所数]]</f>
        <v>0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84</v>
      </c>
      <c r="D24" s="8">
        <v>8.16</v>
      </c>
      <c r="E24" s="12">
        <v>29</v>
      </c>
      <c r="F24" s="8">
        <v>5.59</v>
      </c>
      <c r="G24" s="12">
        <v>55</v>
      </c>
      <c r="H24" s="8">
        <v>10.91</v>
      </c>
      <c r="I24" s="12">
        <v>0</v>
      </c>
    </row>
    <row r="25" spans="2:9" ht="15" customHeight="1" x14ac:dyDescent="0.2">
      <c r="B25" t="s">
        <v>89</v>
      </c>
      <c r="C25" s="12">
        <v>84</v>
      </c>
      <c r="D25" s="8">
        <v>8.16</v>
      </c>
      <c r="E25" s="12">
        <v>68</v>
      </c>
      <c r="F25" s="8">
        <v>13.1</v>
      </c>
      <c r="G25" s="12">
        <v>16</v>
      </c>
      <c r="H25" s="8">
        <v>3.17</v>
      </c>
      <c r="I25" s="12">
        <v>0</v>
      </c>
    </row>
    <row r="26" spans="2:9" ht="15" customHeight="1" x14ac:dyDescent="0.2">
      <c r="B26" t="s">
        <v>83</v>
      </c>
      <c r="C26" s="12">
        <v>76</v>
      </c>
      <c r="D26" s="8">
        <v>7.39</v>
      </c>
      <c r="E26" s="12">
        <v>31</v>
      </c>
      <c r="F26" s="8">
        <v>5.97</v>
      </c>
      <c r="G26" s="12">
        <v>45</v>
      </c>
      <c r="H26" s="8">
        <v>8.93</v>
      </c>
      <c r="I26" s="12">
        <v>0</v>
      </c>
    </row>
    <row r="27" spans="2:9" ht="15" customHeight="1" x14ac:dyDescent="0.2">
      <c r="B27" t="s">
        <v>77</v>
      </c>
      <c r="C27" s="12">
        <v>65</v>
      </c>
      <c r="D27" s="8">
        <v>6.32</v>
      </c>
      <c r="E27" s="12">
        <v>30</v>
      </c>
      <c r="F27" s="8">
        <v>5.78</v>
      </c>
      <c r="G27" s="12">
        <v>35</v>
      </c>
      <c r="H27" s="8">
        <v>6.94</v>
      </c>
      <c r="I27" s="12">
        <v>0</v>
      </c>
    </row>
    <row r="28" spans="2:9" ht="15" customHeight="1" x14ac:dyDescent="0.2">
      <c r="B28" t="s">
        <v>100</v>
      </c>
      <c r="C28" s="12">
        <v>49</v>
      </c>
      <c r="D28" s="8">
        <v>4.76</v>
      </c>
      <c r="E28" s="12">
        <v>20</v>
      </c>
      <c r="F28" s="8">
        <v>3.85</v>
      </c>
      <c r="G28" s="12">
        <v>29</v>
      </c>
      <c r="H28" s="8">
        <v>5.75</v>
      </c>
      <c r="I28" s="12">
        <v>0</v>
      </c>
    </row>
    <row r="29" spans="2:9" ht="15" customHeight="1" x14ac:dyDescent="0.2">
      <c r="B29" t="s">
        <v>82</v>
      </c>
      <c r="C29" s="12">
        <v>48</v>
      </c>
      <c r="D29" s="8">
        <v>4.66</v>
      </c>
      <c r="E29" s="12">
        <v>29</v>
      </c>
      <c r="F29" s="8">
        <v>5.59</v>
      </c>
      <c r="G29" s="12">
        <v>19</v>
      </c>
      <c r="H29" s="8">
        <v>3.77</v>
      </c>
      <c r="I29" s="12">
        <v>0</v>
      </c>
    </row>
    <row r="30" spans="2:9" ht="15" customHeight="1" x14ac:dyDescent="0.2">
      <c r="B30" t="s">
        <v>88</v>
      </c>
      <c r="C30" s="12">
        <v>48</v>
      </c>
      <c r="D30" s="8">
        <v>4.66</v>
      </c>
      <c r="E30" s="12">
        <v>40</v>
      </c>
      <c r="F30" s="8">
        <v>7.71</v>
      </c>
      <c r="G30" s="12">
        <v>8</v>
      </c>
      <c r="H30" s="8">
        <v>1.59</v>
      </c>
      <c r="I30" s="12">
        <v>0</v>
      </c>
    </row>
    <row r="31" spans="2:9" ht="15" customHeight="1" x14ac:dyDescent="0.2">
      <c r="B31" t="s">
        <v>81</v>
      </c>
      <c r="C31" s="12">
        <v>37</v>
      </c>
      <c r="D31" s="8">
        <v>3.6</v>
      </c>
      <c r="E31" s="12">
        <v>24</v>
      </c>
      <c r="F31" s="8">
        <v>4.62</v>
      </c>
      <c r="G31" s="12">
        <v>13</v>
      </c>
      <c r="H31" s="8">
        <v>2.58</v>
      </c>
      <c r="I31" s="12">
        <v>0</v>
      </c>
    </row>
    <row r="32" spans="2:9" ht="15" customHeight="1" x14ac:dyDescent="0.2">
      <c r="B32" t="s">
        <v>75</v>
      </c>
      <c r="C32" s="12">
        <v>36</v>
      </c>
      <c r="D32" s="8">
        <v>3.5</v>
      </c>
      <c r="E32" s="12">
        <v>28</v>
      </c>
      <c r="F32" s="8">
        <v>5.39</v>
      </c>
      <c r="G32" s="12">
        <v>8</v>
      </c>
      <c r="H32" s="8">
        <v>1.59</v>
      </c>
      <c r="I32" s="12">
        <v>0</v>
      </c>
    </row>
    <row r="33" spans="2:9" ht="15" customHeight="1" x14ac:dyDescent="0.2">
      <c r="B33" t="s">
        <v>76</v>
      </c>
      <c r="C33" s="12">
        <v>35</v>
      </c>
      <c r="D33" s="8">
        <v>3.4</v>
      </c>
      <c r="E33" s="12">
        <v>16</v>
      </c>
      <c r="F33" s="8">
        <v>3.08</v>
      </c>
      <c r="G33" s="12">
        <v>19</v>
      </c>
      <c r="H33" s="8">
        <v>3.77</v>
      </c>
      <c r="I33" s="12">
        <v>0</v>
      </c>
    </row>
    <row r="34" spans="2:9" ht="15" customHeight="1" x14ac:dyDescent="0.2">
      <c r="B34" t="s">
        <v>114</v>
      </c>
      <c r="C34" s="12">
        <v>35</v>
      </c>
      <c r="D34" s="8">
        <v>3.4</v>
      </c>
      <c r="E34" s="12">
        <v>24</v>
      </c>
      <c r="F34" s="8">
        <v>4.62</v>
      </c>
      <c r="G34" s="12">
        <v>11</v>
      </c>
      <c r="H34" s="8">
        <v>2.1800000000000002</v>
      </c>
      <c r="I34" s="12">
        <v>0</v>
      </c>
    </row>
    <row r="35" spans="2:9" ht="15" customHeight="1" x14ac:dyDescent="0.2">
      <c r="B35" t="s">
        <v>80</v>
      </c>
      <c r="C35" s="12">
        <v>34</v>
      </c>
      <c r="D35" s="8">
        <v>3.3</v>
      </c>
      <c r="E35" s="12">
        <v>10</v>
      </c>
      <c r="F35" s="8">
        <v>1.93</v>
      </c>
      <c r="G35" s="12">
        <v>24</v>
      </c>
      <c r="H35" s="8">
        <v>4.76</v>
      </c>
      <c r="I35" s="12">
        <v>0</v>
      </c>
    </row>
    <row r="36" spans="2:9" ht="15" customHeight="1" x14ac:dyDescent="0.2">
      <c r="B36" t="s">
        <v>91</v>
      </c>
      <c r="C36" s="12">
        <v>28</v>
      </c>
      <c r="D36" s="8">
        <v>2.72</v>
      </c>
      <c r="E36" s="12">
        <v>16</v>
      </c>
      <c r="F36" s="8">
        <v>3.08</v>
      </c>
      <c r="G36" s="12">
        <v>7</v>
      </c>
      <c r="H36" s="8">
        <v>1.39</v>
      </c>
      <c r="I36" s="12">
        <v>0</v>
      </c>
    </row>
    <row r="37" spans="2:9" ht="15" customHeight="1" x14ac:dyDescent="0.2">
      <c r="B37" t="s">
        <v>115</v>
      </c>
      <c r="C37" s="12">
        <v>27</v>
      </c>
      <c r="D37" s="8">
        <v>2.62</v>
      </c>
      <c r="E37" s="12">
        <v>14</v>
      </c>
      <c r="F37" s="8">
        <v>2.7</v>
      </c>
      <c r="G37" s="12">
        <v>13</v>
      </c>
      <c r="H37" s="8">
        <v>2.58</v>
      </c>
      <c r="I37" s="12">
        <v>0</v>
      </c>
    </row>
    <row r="38" spans="2:9" ht="15" customHeight="1" x14ac:dyDescent="0.2">
      <c r="B38" t="s">
        <v>85</v>
      </c>
      <c r="C38" s="12">
        <v>24</v>
      </c>
      <c r="D38" s="8">
        <v>2.33</v>
      </c>
      <c r="E38" s="12">
        <v>1</v>
      </c>
      <c r="F38" s="8">
        <v>0.19</v>
      </c>
      <c r="G38" s="12">
        <v>23</v>
      </c>
      <c r="H38" s="8">
        <v>4.5599999999999996</v>
      </c>
      <c r="I38" s="12">
        <v>0</v>
      </c>
    </row>
    <row r="39" spans="2:9" ht="15" customHeight="1" x14ac:dyDescent="0.2">
      <c r="B39" t="s">
        <v>110</v>
      </c>
      <c r="C39" s="12">
        <v>23</v>
      </c>
      <c r="D39" s="8">
        <v>2.2400000000000002</v>
      </c>
      <c r="E39" s="12">
        <v>15</v>
      </c>
      <c r="F39" s="8">
        <v>2.89</v>
      </c>
      <c r="G39" s="12">
        <v>8</v>
      </c>
      <c r="H39" s="8">
        <v>1.59</v>
      </c>
      <c r="I39" s="12">
        <v>0</v>
      </c>
    </row>
    <row r="40" spans="2:9" ht="15" customHeight="1" x14ac:dyDescent="0.2">
      <c r="B40" t="s">
        <v>113</v>
      </c>
      <c r="C40" s="12">
        <v>23</v>
      </c>
      <c r="D40" s="8">
        <v>2.2400000000000002</v>
      </c>
      <c r="E40" s="12">
        <v>10</v>
      </c>
      <c r="F40" s="8">
        <v>1.93</v>
      </c>
      <c r="G40" s="12">
        <v>13</v>
      </c>
      <c r="H40" s="8">
        <v>2.58</v>
      </c>
      <c r="I40" s="12">
        <v>0</v>
      </c>
    </row>
    <row r="41" spans="2:9" ht="15" customHeight="1" x14ac:dyDescent="0.2">
      <c r="B41" t="s">
        <v>92</v>
      </c>
      <c r="C41" s="12">
        <v>18</v>
      </c>
      <c r="D41" s="8">
        <v>1.75</v>
      </c>
      <c r="E41" s="12">
        <v>16</v>
      </c>
      <c r="F41" s="8">
        <v>3.08</v>
      </c>
      <c r="G41" s="12">
        <v>2</v>
      </c>
      <c r="H41" s="8">
        <v>0.4</v>
      </c>
      <c r="I41" s="12">
        <v>0</v>
      </c>
    </row>
    <row r="42" spans="2:9" ht="15" customHeight="1" x14ac:dyDescent="0.2">
      <c r="B42" t="s">
        <v>87</v>
      </c>
      <c r="C42" s="12">
        <v>17</v>
      </c>
      <c r="D42" s="8">
        <v>1.65</v>
      </c>
      <c r="E42" s="12">
        <v>9</v>
      </c>
      <c r="F42" s="8">
        <v>1.73</v>
      </c>
      <c r="G42" s="12">
        <v>8</v>
      </c>
      <c r="H42" s="8">
        <v>1.59</v>
      </c>
      <c r="I42" s="12">
        <v>0</v>
      </c>
    </row>
    <row r="43" spans="2:9" ht="15" customHeight="1" x14ac:dyDescent="0.2">
      <c r="B43" t="s">
        <v>86</v>
      </c>
      <c r="C43" s="12">
        <v>16</v>
      </c>
      <c r="D43" s="8">
        <v>1.55</v>
      </c>
      <c r="E43" s="12">
        <v>11</v>
      </c>
      <c r="F43" s="8">
        <v>2.12</v>
      </c>
      <c r="G43" s="12">
        <v>5</v>
      </c>
      <c r="H43" s="8">
        <v>0.99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122</v>
      </c>
      <c r="C47" s="12">
        <v>39</v>
      </c>
      <c r="D47" s="8">
        <v>3.79</v>
      </c>
      <c r="E47" s="12">
        <v>14</v>
      </c>
      <c r="F47" s="8">
        <v>2.7</v>
      </c>
      <c r="G47" s="12">
        <v>25</v>
      </c>
      <c r="H47" s="8">
        <v>4.96</v>
      </c>
      <c r="I47" s="12">
        <v>0</v>
      </c>
    </row>
    <row r="48" spans="2:9" ht="15" customHeight="1" x14ac:dyDescent="0.2">
      <c r="B48" t="s">
        <v>138</v>
      </c>
      <c r="C48" s="12">
        <v>36</v>
      </c>
      <c r="D48" s="8">
        <v>3.5</v>
      </c>
      <c r="E48" s="12">
        <v>30</v>
      </c>
      <c r="F48" s="8">
        <v>5.78</v>
      </c>
      <c r="G48" s="12">
        <v>6</v>
      </c>
      <c r="H48" s="8">
        <v>1.19</v>
      </c>
      <c r="I48" s="12">
        <v>0</v>
      </c>
    </row>
    <row r="49" spans="2:9" ht="15" customHeight="1" x14ac:dyDescent="0.2">
      <c r="B49" t="s">
        <v>137</v>
      </c>
      <c r="C49" s="12">
        <v>30</v>
      </c>
      <c r="D49" s="8">
        <v>2.92</v>
      </c>
      <c r="E49" s="12">
        <v>28</v>
      </c>
      <c r="F49" s="8">
        <v>5.39</v>
      </c>
      <c r="G49" s="12">
        <v>2</v>
      </c>
      <c r="H49" s="8">
        <v>0.4</v>
      </c>
      <c r="I49" s="12">
        <v>0</v>
      </c>
    </row>
    <row r="50" spans="2:9" ht="15" customHeight="1" x14ac:dyDescent="0.2">
      <c r="B50" t="s">
        <v>127</v>
      </c>
      <c r="C50" s="12">
        <v>28</v>
      </c>
      <c r="D50" s="8">
        <v>2.72</v>
      </c>
      <c r="E50" s="12">
        <v>17</v>
      </c>
      <c r="F50" s="8">
        <v>3.28</v>
      </c>
      <c r="G50" s="12">
        <v>11</v>
      </c>
      <c r="H50" s="8">
        <v>2.1800000000000002</v>
      </c>
      <c r="I50" s="12">
        <v>0</v>
      </c>
    </row>
    <row r="51" spans="2:9" ht="15" customHeight="1" x14ac:dyDescent="0.2">
      <c r="B51" t="s">
        <v>136</v>
      </c>
      <c r="C51" s="12">
        <v>24</v>
      </c>
      <c r="D51" s="8">
        <v>2.33</v>
      </c>
      <c r="E51" s="12">
        <v>23</v>
      </c>
      <c r="F51" s="8">
        <v>4.43</v>
      </c>
      <c r="G51" s="12">
        <v>1</v>
      </c>
      <c r="H51" s="8">
        <v>0.2</v>
      </c>
      <c r="I51" s="12">
        <v>0</v>
      </c>
    </row>
    <row r="52" spans="2:9" ht="15" customHeight="1" x14ac:dyDescent="0.2">
      <c r="B52" t="s">
        <v>124</v>
      </c>
      <c r="C52" s="12">
        <v>22</v>
      </c>
      <c r="D52" s="8">
        <v>2.14</v>
      </c>
      <c r="E52" s="12">
        <v>11</v>
      </c>
      <c r="F52" s="8">
        <v>2.12</v>
      </c>
      <c r="G52" s="12">
        <v>11</v>
      </c>
      <c r="H52" s="8">
        <v>2.1800000000000002</v>
      </c>
      <c r="I52" s="12">
        <v>0</v>
      </c>
    </row>
    <row r="53" spans="2:9" ht="15" customHeight="1" x14ac:dyDescent="0.2">
      <c r="B53" t="s">
        <v>184</v>
      </c>
      <c r="C53" s="12">
        <v>22</v>
      </c>
      <c r="D53" s="8">
        <v>2.14</v>
      </c>
      <c r="E53" s="12">
        <v>11</v>
      </c>
      <c r="F53" s="8">
        <v>2.12</v>
      </c>
      <c r="G53" s="12">
        <v>11</v>
      </c>
      <c r="H53" s="8">
        <v>2.1800000000000002</v>
      </c>
      <c r="I53" s="12">
        <v>0</v>
      </c>
    </row>
    <row r="54" spans="2:9" ht="15" customHeight="1" x14ac:dyDescent="0.2">
      <c r="B54" t="s">
        <v>182</v>
      </c>
      <c r="C54" s="12">
        <v>19</v>
      </c>
      <c r="D54" s="8">
        <v>1.85</v>
      </c>
      <c r="E54" s="12">
        <v>9</v>
      </c>
      <c r="F54" s="8">
        <v>1.73</v>
      </c>
      <c r="G54" s="12">
        <v>10</v>
      </c>
      <c r="H54" s="8">
        <v>1.98</v>
      </c>
      <c r="I54" s="12">
        <v>0</v>
      </c>
    </row>
    <row r="55" spans="2:9" ht="15" customHeight="1" x14ac:dyDescent="0.2">
      <c r="B55" t="s">
        <v>178</v>
      </c>
      <c r="C55" s="12">
        <v>17</v>
      </c>
      <c r="D55" s="8">
        <v>1.65</v>
      </c>
      <c r="E55" s="12">
        <v>8</v>
      </c>
      <c r="F55" s="8">
        <v>1.54</v>
      </c>
      <c r="G55" s="12">
        <v>9</v>
      </c>
      <c r="H55" s="8">
        <v>1.79</v>
      </c>
      <c r="I55" s="12">
        <v>0</v>
      </c>
    </row>
    <row r="56" spans="2:9" ht="15" customHeight="1" x14ac:dyDescent="0.2">
      <c r="B56" t="s">
        <v>128</v>
      </c>
      <c r="C56" s="12">
        <v>17</v>
      </c>
      <c r="D56" s="8">
        <v>1.65</v>
      </c>
      <c r="E56" s="12">
        <v>6</v>
      </c>
      <c r="F56" s="8">
        <v>1.1599999999999999</v>
      </c>
      <c r="G56" s="12">
        <v>11</v>
      </c>
      <c r="H56" s="8">
        <v>2.1800000000000002</v>
      </c>
      <c r="I56" s="12">
        <v>0</v>
      </c>
    </row>
    <row r="57" spans="2:9" ht="15" customHeight="1" x14ac:dyDescent="0.2">
      <c r="B57" t="s">
        <v>123</v>
      </c>
      <c r="C57" s="12">
        <v>16</v>
      </c>
      <c r="D57" s="8">
        <v>1.55</v>
      </c>
      <c r="E57" s="12">
        <v>6</v>
      </c>
      <c r="F57" s="8">
        <v>1.1599999999999999</v>
      </c>
      <c r="G57" s="12">
        <v>10</v>
      </c>
      <c r="H57" s="8">
        <v>1.98</v>
      </c>
      <c r="I57" s="12">
        <v>0</v>
      </c>
    </row>
    <row r="58" spans="2:9" ht="15" customHeight="1" x14ac:dyDescent="0.2">
      <c r="B58" t="s">
        <v>183</v>
      </c>
      <c r="C58" s="12">
        <v>16</v>
      </c>
      <c r="D58" s="8">
        <v>1.55</v>
      </c>
      <c r="E58" s="12">
        <v>11</v>
      </c>
      <c r="F58" s="8">
        <v>2.12</v>
      </c>
      <c r="G58" s="12">
        <v>5</v>
      </c>
      <c r="H58" s="8">
        <v>0.99</v>
      </c>
      <c r="I58" s="12">
        <v>0</v>
      </c>
    </row>
    <row r="59" spans="2:9" ht="15" customHeight="1" x14ac:dyDescent="0.2">
      <c r="B59" t="s">
        <v>176</v>
      </c>
      <c r="C59" s="12">
        <v>16</v>
      </c>
      <c r="D59" s="8">
        <v>1.55</v>
      </c>
      <c r="E59" s="12">
        <v>9</v>
      </c>
      <c r="F59" s="8">
        <v>1.73</v>
      </c>
      <c r="G59" s="12">
        <v>7</v>
      </c>
      <c r="H59" s="8">
        <v>1.39</v>
      </c>
      <c r="I59" s="12">
        <v>0</v>
      </c>
    </row>
    <row r="60" spans="2:9" ht="15" customHeight="1" x14ac:dyDescent="0.2">
      <c r="B60" t="s">
        <v>126</v>
      </c>
      <c r="C60" s="12">
        <v>15</v>
      </c>
      <c r="D60" s="8">
        <v>1.46</v>
      </c>
      <c r="E60" s="12">
        <v>10</v>
      </c>
      <c r="F60" s="8">
        <v>1.93</v>
      </c>
      <c r="G60" s="12">
        <v>5</v>
      </c>
      <c r="H60" s="8">
        <v>0.99</v>
      </c>
      <c r="I60" s="12">
        <v>0</v>
      </c>
    </row>
    <row r="61" spans="2:9" ht="15" customHeight="1" x14ac:dyDescent="0.2">
      <c r="B61" t="s">
        <v>172</v>
      </c>
      <c r="C61" s="12">
        <v>15</v>
      </c>
      <c r="D61" s="8">
        <v>1.46</v>
      </c>
      <c r="E61" s="12">
        <v>3</v>
      </c>
      <c r="F61" s="8">
        <v>0.57999999999999996</v>
      </c>
      <c r="G61" s="12">
        <v>12</v>
      </c>
      <c r="H61" s="8">
        <v>2.38</v>
      </c>
      <c r="I61" s="12">
        <v>0</v>
      </c>
    </row>
    <row r="62" spans="2:9" ht="15" customHeight="1" x14ac:dyDescent="0.2">
      <c r="B62" t="s">
        <v>129</v>
      </c>
      <c r="C62" s="12">
        <v>15</v>
      </c>
      <c r="D62" s="8">
        <v>1.46</v>
      </c>
      <c r="E62" s="12">
        <v>10</v>
      </c>
      <c r="F62" s="8">
        <v>1.93</v>
      </c>
      <c r="G62" s="12">
        <v>5</v>
      </c>
      <c r="H62" s="8">
        <v>0.99</v>
      </c>
      <c r="I62" s="12">
        <v>0</v>
      </c>
    </row>
    <row r="63" spans="2:9" ht="15" customHeight="1" x14ac:dyDescent="0.2">
      <c r="B63" t="s">
        <v>146</v>
      </c>
      <c r="C63" s="12">
        <v>15</v>
      </c>
      <c r="D63" s="8">
        <v>1.46</v>
      </c>
      <c r="E63" s="12">
        <v>10</v>
      </c>
      <c r="F63" s="8">
        <v>1.93</v>
      </c>
      <c r="G63" s="12">
        <v>5</v>
      </c>
      <c r="H63" s="8">
        <v>0.99</v>
      </c>
      <c r="I63" s="12">
        <v>0</v>
      </c>
    </row>
    <row r="64" spans="2:9" ht="15" customHeight="1" x14ac:dyDescent="0.2">
      <c r="B64" t="s">
        <v>140</v>
      </c>
      <c r="C64" s="12">
        <v>15</v>
      </c>
      <c r="D64" s="8">
        <v>1.46</v>
      </c>
      <c r="E64" s="12">
        <v>9</v>
      </c>
      <c r="F64" s="8">
        <v>1.73</v>
      </c>
      <c r="G64" s="12">
        <v>6</v>
      </c>
      <c r="H64" s="8">
        <v>1.19</v>
      </c>
      <c r="I64" s="12">
        <v>0</v>
      </c>
    </row>
    <row r="65" spans="2:9" ht="15" customHeight="1" x14ac:dyDescent="0.2">
      <c r="B65" t="s">
        <v>165</v>
      </c>
      <c r="C65" s="12">
        <v>15</v>
      </c>
      <c r="D65" s="8">
        <v>1.46</v>
      </c>
      <c r="E65" s="12">
        <v>14</v>
      </c>
      <c r="F65" s="8">
        <v>2.7</v>
      </c>
      <c r="G65" s="12">
        <v>1</v>
      </c>
      <c r="H65" s="8">
        <v>0.2</v>
      </c>
      <c r="I65" s="12">
        <v>0</v>
      </c>
    </row>
    <row r="66" spans="2:9" ht="15" customHeight="1" x14ac:dyDescent="0.2">
      <c r="B66" t="s">
        <v>181</v>
      </c>
      <c r="C66" s="12">
        <v>14</v>
      </c>
      <c r="D66" s="8">
        <v>1.36</v>
      </c>
      <c r="E66" s="12">
        <v>6</v>
      </c>
      <c r="F66" s="8">
        <v>1.1599999999999999</v>
      </c>
      <c r="G66" s="12">
        <v>8</v>
      </c>
      <c r="H66" s="8">
        <v>1.59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3FE7-1E07-4F40-BCF0-B8B9238CD546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248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189</v>
      </c>
      <c r="D6" s="8">
        <v>16.84</v>
      </c>
      <c r="E6" s="12">
        <v>109</v>
      </c>
      <c r="F6" s="8">
        <v>15.64</v>
      </c>
      <c r="G6" s="12">
        <v>80</v>
      </c>
      <c r="H6" s="8">
        <v>19.61</v>
      </c>
      <c r="I6" s="12">
        <v>0</v>
      </c>
    </row>
    <row r="7" spans="2:9" ht="15" customHeight="1" x14ac:dyDescent="0.2">
      <c r="B7" t="s">
        <v>53</v>
      </c>
      <c r="C7" s="12">
        <v>144</v>
      </c>
      <c r="D7" s="8">
        <v>12.83</v>
      </c>
      <c r="E7" s="12">
        <v>81</v>
      </c>
      <c r="F7" s="8">
        <v>11.62</v>
      </c>
      <c r="G7" s="12">
        <v>63</v>
      </c>
      <c r="H7" s="8">
        <v>15.44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0.18</v>
      </c>
      <c r="E8" s="12">
        <v>0</v>
      </c>
      <c r="F8" s="8">
        <v>0</v>
      </c>
      <c r="G8" s="12">
        <v>2</v>
      </c>
      <c r="H8" s="8">
        <v>0.49</v>
      </c>
      <c r="I8" s="12">
        <v>0</v>
      </c>
    </row>
    <row r="9" spans="2:9" ht="15" customHeight="1" x14ac:dyDescent="0.2">
      <c r="B9" t="s">
        <v>55</v>
      </c>
      <c r="C9" s="12">
        <v>9</v>
      </c>
      <c r="D9" s="8">
        <v>0.8</v>
      </c>
      <c r="E9" s="12">
        <v>1</v>
      </c>
      <c r="F9" s="8">
        <v>0.14000000000000001</v>
      </c>
      <c r="G9" s="12">
        <v>8</v>
      </c>
      <c r="H9" s="8">
        <v>1.96</v>
      </c>
      <c r="I9" s="12">
        <v>0</v>
      </c>
    </row>
    <row r="10" spans="2:9" ht="15" customHeight="1" x14ac:dyDescent="0.2">
      <c r="B10" t="s">
        <v>56</v>
      </c>
      <c r="C10" s="12">
        <v>10</v>
      </c>
      <c r="D10" s="8">
        <v>0.89</v>
      </c>
      <c r="E10" s="12">
        <v>3</v>
      </c>
      <c r="F10" s="8">
        <v>0.43</v>
      </c>
      <c r="G10" s="12">
        <v>7</v>
      </c>
      <c r="H10" s="8">
        <v>1.72</v>
      </c>
      <c r="I10" s="12">
        <v>0</v>
      </c>
    </row>
    <row r="11" spans="2:9" ht="15" customHeight="1" x14ac:dyDescent="0.2">
      <c r="B11" t="s">
        <v>57</v>
      </c>
      <c r="C11" s="12">
        <v>316</v>
      </c>
      <c r="D11" s="8">
        <v>28.16</v>
      </c>
      <c r="E11" s="12">
        <v>197</v>
      </c>
      <c r="F11" s="8">
        <v>28.26</v>
      </c>
      <c r="G11" s="12">
        <v>119</v>
      </c>
      <c r="H11" s="8">
        <v>29.17</v>
      </c>
      <c r="I11" s="12">
        <v>0</v>
      </c>
    </row>
    <row r="12" spans="2:9" ht="15" customHeight="1" x14ac:dyDescent="0.2">
      <c r="B12" t="s">
        <v>58</v>
      </c>
      <c r="C12" s="12">
        <v>2</v>
      </c>
      <c r="D12" s="8">
        <v>0.18</v>
      </c>
      <c r="E12" s="12">
        <v>1</v>
      </c>
      <c r="F12" s="8">
        <v>0.14000000000000001</v>
      </c>
      <c r="G12" s="12">
        <v>1</v>
      </c>
      <c r="H12" s="8">
        <v>0.25</v>
      </c>
      <c r="I12" s="12">
        <v>0</v>
      </c>
    </row>
    <row r="13" spans="2:9" ht="15" customHeight="1" x14ac:dyDescent="0.2">
      <c r="B13" t="s">
        <v>59</v>
      </c>
      <c r="C13" s="12">
        <v>76</v>
      </c>
      <c r="D13" s="8">
        <v>6.77</v>
      </c>
      <c r="E13" s="12">
        <v>40</v>
      </c>
      <c r="F13" s="8">
        <v>5.74</v>
      </c>
      <c r="G13" s="12">
        <v>35</v>
      </c>
      <c r="H13" s="8">
        <v>8.58</v>
      </c>
      <c r="I13" s="12">
        <v>1</v>
      </c>
    </row>
    <row r="14" spans="2:9" ht="15" customHeight="1" x14ac:dyDescent="0.2">
      <c r="B14" t="s">
        <v>60</v>
      </c>
      <c r="C14" s="12">
        <v>47</v>
      </c>
      <c r="D14" s="8">
        <v>4.1900000000000004</v>
      </c>
      <c r="E14" s="12">
        <v>29</v>
      </c>
      <c r="F14" s="8">
        <v>4.16</v>
      </c>
      <c r="G14" s="12">
        <v>18</v>
      </c>
      <c r="H14" s="8">
        <v>4.41</v>
      </c>
      <c r="I14" s="12">
        <v>0</v>
      </c>
    </row>
    <row r="15" spans="2:9" ht="15" customHeight="1" x14ac:dyDescent="0.2">
      <c r="B15" t="s">
        <v>61</v>
      </c>
      <c r="C15" s="12">
        <v>131</v>
      </c>
      <c r="D15" s="8">
        <v>11.68</v>
      </c>
      <c r="E15" s="12">
        <v>114</v>
      </c>
      <c r="F15" s="8">
        <v>16.36</v>
      </c>
      <c r="G15" s="12">
        <v>17</v>
      </c>
      <c r="H15" s="8">
        <v>4.17</v>
      </c>
      <c r="I15" s="12">
        <v>0</v>
      </c>
    </row>
    <row r="16" spans="2:9" ht="15" customHeight="1" x14ac:dyDescent="0.2">
      <c r="B16" t="s">
        <v>62</v>
      </c>
      <c r="C16" s="12">
        <v>96</v>
      </c>
      <c r="D16" s="8">
        <v>8.56</v>
      </c>
      <c r="E16" s="12">
        <v>75</v>
      </c>
      <c r="F16" s="8">
        <v>10.76</v>
      </c>
      <c r="G16" s="12">
        <v>20</v>
      </c>
      <c r="H16" s="8">
        <v>4.9000000000000004</v>
      </c>
      <c r="I16" s="12">
        <v>0</v>
      </c>
    </row>
    <row r="17" spans="2:9" ht="15" customHeight="1" x14ac:dyDescent="0.2">
      <c r="B17" t="s">
        <v>63</v>
      </c>
      <c r="C17" s="12">
        <v>31</v>
      </c>
      <c r="D17" s="8">
        <v>2.76</v>
      </c>
      <c r="E17" s="12">
        <v>18</v>
      </c>
      <c r="F17" s="8">
        <v>2.58</v>
      </c>
      <c r="G17" s="12">
        <v>10</v>
      </c>
      <c r="H17" s="8">
        <v>2.4500000000000002</v>
      </c>
      <c r="I17" s="12">
        <v>1</v>
      </c>
    </row>
    <row r="18" spans="2:9" ht="15" customHeight="1" x14ac:dyDescent="0.2">
      <c r="B18" t="s">
        <v>64</v>
      </c>
      <c r="C18" s="12">
        <v>50</v>
      </c>
      <c r="D18" s="8">
        <v>4.46</v>
      </c>
      <c r="E18" s="12">
        <v>21</v>
      </c>
      <c r="F18" s="8">
        <v>3.01</v>
      </c>
      <c r="G18" s="12">
        <v>18</v>
      </c>
      <c r="H18" s="8">
        <v>4.41</v>
      </c>
      <c r="I18" s="12">
        <v>0</v>
      </c>
    </row>
    <row r="19" spans="2:9" ht="15" customHeight="1" x14ac:dyDescent="0.2">
      <c r="B19" t="s">
        <v>65</v>
      </c>
      <c r="C19" s="12">
        <v>19</v>
      </c>
      <c r="D19" s="8">
        <v>1.69</v>
      </c>
      <c r="E19" s="12">
        <v>8</v>
      </c>
      <c r="F19" s="8">
        <v>1.1499999999999999</v>
      </c>
      <c r="G19" s="12">
        <v>10</v>
      </c>
      <c r="H19" s="8">
        <v>2.4500000000000002</v>
      </c>
      <c r="I19" s="12">
        <v>1</v>
      </c>
    </row>
    <row r="20" spans="2:9" ht="15" customHeight="1" x14ac:dyDescent="0.2">
      <c r="B20" s="9" t="s">
        <v>215</v>
      </c>
      <c r="C20" s="12">
        <f>SUM(LTBL_28221[総数／事業所数])</f>
        <v>1122</v>
      </c>
      <c r="E20" s="12">
        <f>SUBTOTAL(109,LTBL_28221[個人／事業所数])</f>
        <v>697</v>
      </c>
      <c r="G20" s="12">
        <f>SUBTOTAL(109,LTBL_28221[法人／事業所数])</f>
        <v>408</v>
      </c>
      <c r="I20" s="12">
        <f>SUBTOTAL(109,LTBL_28221[法人以外の団体／事業所数])</f>
        <v>3</v>
      </c>
    </row>
    <row r="21" spans="2:9" ht="15" customHeight="1" x14ac:dyDescent="0.2">
      <c r="E21" s="11">
        <f>LTBL_28221[[#Totals],[個人／事業所数]]/LTBL_28221[[#Totals],[総数／事業所数]]</f>
        <v>0.62121212121212122</v>
      </c>
      <c r="G21" s="11">
        <f>LTBL_28221[[#Totals],[法人／事業所数]]/LTBL_28221[[#Totals],[総数／事業所数]]</f>
        <v>0.36363636363636365</v>
      </c>
      <c r="I21" s="11">
        <f>LTBL_28221[[#Totals],[法人以外の団体／事業所数]]/LTBL_28221[[#Totals],[総数／事業所数]]</f>
        <v>2.6737967914438501E-3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117</v>
      </c>
      <c r="D24" s="8">
        <v>10.43</v>
      </c>
      <c r="E24" s="12">
        <v>103</v>
      </c>
      <c r="F24" s="8">
        <v>14.78</v>
      </c>
      <c r="G24" s="12">
        <v>14</v>
      </c>
      <c r="H24" s="8">
        <v>3.43</v>
      </c>
      <c r="I24" s="12">
        <v>0</v>
      </c>
    </row>
    <row r="25" spans="2:9" ht="15" customHeight="1" x14ac:dyDescent="0.2">
      <c r="B25" t="s">
        <v>83</v>
      </c>
      <c r="C25" s="12">
        <v>111</v>
      </c>
      <c r="D25" s="8">
        <v>9.89</v>
      </c>
      <c r="E25" s="12">
        <v>73</v>
      </c>
      <c r="F25" s="8">
        <v>10.47</v>
      </c>
      <c r="G25" s="12">
        <v>38</v>
      </c>
      <c r="H25" s="8">
        <v>9.31</v>
      </c>
      <c r="I25" s="12">
        <v>0</v>
      </c>
    </row>
    <row r="26" spans="2:9" ht="15" customHeight="1" x14ac:dyDescent="0.2">
      <c r="B26" t="s">
        <v>74</v>
      </c>
      <c r="C26" s="12">
        <v>105</v>
      </c>
      <c r="D26" s="8">
        <v>9.36</v>
      </c>
      <c r="E26" s="12">
        <v>44</v>
      </c>
      <c r="F26" s="8">
        <v>6.31</v>
      </c>
      <c r="G26" s="12">
        <v>61</v>
      </c>
      <c r="H26" s="8">
        <v>14.95</v>
      </c>
      <c r="I26" s="12">
        <v>0</v>
      </c>
    </row>
    <row r="27" spans="2:9" ht="15" customHeight="1" x14ac:dyDescent="0.2">
      <c r="B27" t="s">
        <v>89</v>
      </c>
      <c r="C27" s="12">
        <v>76</v>
      </c>
      <c r="D27" s="8">
        <v>6.77</v>
      </c>
      <c r="E27" s="12">
        <v>65</v>
      </c>
      <c r="F27" s="8">
        <v>9.33</v>
      </c>
      <c r="G27" s="12">
        <v>11</v>
      </c>
      <c r="H27" s="8">
        <v>2.7</v>
      </c>
      <c r="I27" s="12">
        <v>0</v>
      </c>
    </row>
    <row r="28" spans="2:9" ht="15" customHeight="1" x14ac:dyDescent="0.2">
      <c r="B28" t="s">
        <v>81</v>
      </c>
      <c r="C28" s="12">
        <v>75</v>
      </c>
      <c r="D28" s="8">
        <v>6.68</v>
      </c>
      <c r="E28" s="12">
        <v>58</v>
      </c>
      <c r="F28" s="8">
        <v>8.32</v>
      </c>
      <c r="G28" s="12">
        <v>17</v>
      </c>
      <c r="H28" s="8">
        <v>4.17</v>
      </c>
      <c r="I28" s="12">
        <v>0</v>
      </c>
    </row>
    <row r="29" spans="2:9" ht="15" customHeight="1" x14ac:dyDescent="0.2">
      <c r="B29" t="s">
        <v>75</v>
      </c>
      <c r="C29" s="12">
        <v>55</v>
      </c>
      <c r="D29" s="8">
        <v>4.9000000000000004</v>
      </c>
      <c r="E29" s="12">
        <v>43</v>
      </c>
      <c r="F29" s="8">
        <v>6.17</v>
      </c>
      <c r="G29" s="12">
        <v>12</v>
      </c>
      <c r="H29" s="8">
        <v>2.94</v>
      </c>
      <c r="I29" s="12">
        <v>0</v>
      </c>
    </row>
    <row r="30" spans="2:9" ht="15" customHeight="1" x14ac:dyDescent="0.2">
      <c r="B30" t="s">
        <v>85</v>
      </c>
      <c r="C30" s="12">
        <v>54</v>
      </c>
      <c r="D30" s="8">
        <v>4.8099999999999996</v>
      </c>
      <c r="E30" s="12">
        <v>32</v>
      </c>
      <c r="F30" s="8">
        <v>4.59</v>
      </c>
      <c r="G30" s="12">
        <v>21</v>
      </c>
      <c r="H30" s="8">
        <v>5.15</v>
      </c>
      <c r="I30" s="12">
        <v>1</v>
      </c>
    </row>
    <row r="31" spans="2:9" ht="15" customHeight="1" x14ac:dyDescent="0.2">
      <c r="B31" t="s">
        <v>116</v>
      </c>
      <c r="C31" s="12">
        <v>43</v>
      </c>
      <c r="D31" s="8">
        <v>3.83</v>
      </c>
      <c r="E31" s="12">
        <v>36</v>
      </c>
      <c r="F31" s="8">
        <v>5.16</v>
      </c>
      <c r="G31" s="12">
        <v>7</v>
      </c>
      <c r="H31" s="8">
        <v>1.72</v>
      </c>
      <c r="I31" s="12">
        <v>0</v>
      </c>
    </row>
    <row r="32" spans="2:9" ht="15" customHeight="1" x14ac:dyDescent="0.2">
      <c r="B32" t="s">
        <v>82</v>
      </c>
      <c r="C32" s="12">
        <v>41</v>
      </c>
      <c r="D32" s="8">
        <v>3.65</v>
      </c>
      <c r="E32" s="12">
        <v>28</v>
      </c>
      <c r="F32" s="8">
        <v>4.0199999999999996</v>
      </c>
      <c r="G32" s="12">
        <v>13</v>
      </c>
      <c r="H32" s="8">
        <v>3.19</v>
      </c>
      <c r="I32" s="12">
        <v>0</v>
      </c>
    </row>
    <row r="33" spans="2:9" ht="15" customHeight="1" x14ac:dyDescent="0.2">
      <c r="B33" t="s">
        <v>80</v>
      </c>
      <c r="C33" s="12">
        <v>33</v>
      </c>
      <c r="D33" s="8">
        <v>2.94</v>
      </c>
      <c r="E33" s="12">
        <v>20</v>
      </c>
      <c r="F33" s="8">
        <v>2.87</v>
      </c>
      <c r="G33" s="12">
        <v>13</v>
      </c>
      <c r="H33" s="8">
        <v>3.19</v>
      </c>
      <c r="I33" s="12">
        <v>0</v>
      </c>
    </row>
    <row r="34" spans="2:9" ht="15" customHeight="1" x14ac:dyDescent="0.2">
      <c r="B34" t="s">
        <v>91</v>
      </c>
      <c r="C34" s="12">
        <v>31</v>
      </c>
      <c r="D34" s="8">
        <v>2.76</v>
      </c>
      <c r="E34" s="12">
        <v>18</v>
      </c>
      <c r="F34" s="8">
        <v>2.58</v>
      </c>
      <c r="G34" s="12">
        <v>10</v>
      </c>
      <c r="H34" s="8">
        <v>2.4500000000000002</v>
      </c>
      <c r="I34" s="12">
        <v>1</v>
      </c>
    </row>
    <row r="35" spans="2:9" ht="15" customHeight="1" x14ac:dyDescent="0.2">
      <c r="B35" t="s">
        <v>76</v>
      </c>
      <c r="C35" s="12">
        <v>29</v>
      </c>
      <c r="D35" s="8">
        <v>2.58</v>
      </c>
      <c r="E35" s="12">
        <v>22</v>
      </c>
      <c r="F35" s="8">
        <v>3.16</v>
      </c>
      <c r="G35" s="12">
        <v>7</v>
      </c>
      <c r="H35" s="8">
        <v>1.72</v>
      </c>
      <c r="I35" s="12">
        <v>0</v>
      </c>
    </row>
    <row r="36" spans="2:9" ht="15" customHeight="1" x14ac:dyDescent="0.2">
      <c r="B36" t="s">
        <v>93</v>
      </c>
      <c r="C36" s="12">
        <v>26</v>
      </c>
      <c r="D36" s="8">
        <v>2.3199999999999998</v>
      </c>
      <c r="E36" s="12">
        <v>0</v>
      </c>
      <c r="F36" s="8">
        <v>0</v>
      </c>
      <c r="G36" s="12">
        <v>15</v>
      </c>
      <c r="H36" s="8">
        <v>3.68</v>
      </c>
      <c r="I36" s="12">
        <v>0</v>
      </c>
    </row>
    <row r="37" spans="2:9" ht="15" customHeight="1" x14ac:dyDescent="0.2">
      <c r="B37" t="s">
        <v>86</v>
      </c>
      <c r="C37" s="12">
        <v>25</v>
      </c>
      <c r="D37" s="8">
        <v>2.23</v>
      </c>
      <c r="E37" s="12">
        <v>18</v>
      </c>
      <c r="F37" s="8">
        <v>2.58</v>
      </c>
      <c r="G37" s="12">
        <v>7</v>
      </c>
      <c r="H37" s="8">
        <v>1.72</v>
      </c>
      <c r="I37" s="12">
        <v>0</v>
      </c>
    </row>
    <row r="38" spans="2:9" ht="15" customHeight="1" x14ac:dyDescent="0.2">
      <c r="B38" t="s">
        <v>92</v>
      </c>
      <c r="C38" s="12">
        <v>24</v>
      </c>
      <c r="D38" s="8">
        <v>2.14</v>
      </c>
      <c r="E38" s="12">
        <v>21</v>
      </c>
      <c r="F38" s="8">
        <v>3.01</v>
      </c>
      <c r="G38" s="12">
        <v>3</v>
      </c>
      <c r="H38" s="8">
        <v>0.74</v>
      </c>
      <c r="I38" s="12">
        <v>0</v>
      </c>
    </row>
    <row r="39" spans="2:9" ht="15" customHeight="1" x14ac:dyDescent="0.2">
      <c r="B39" t="s">
        <v>87</v>
      </c>
      <c r="C39" s="12">
        <v>22</v>
      </c>
      <c r="D39" s="8">
        <v>1.96</v>
      </c>
      <c r="E39" s="12">
        <v>11</v>
      </c>
      <c r="F39" s="8">
        <v>1.58</v>
      </c>
      <c r="G39" s="12">
        <v>11</v>
      </c>
      <c r="H39" s="8">
        <v>2.7</v>
      </c>
      <c r="I39" s="12">
        <v>0</v>
      </c>
    </row>
    <row r="40" spans="2:9" ht="15" customHeight="1" x14ac:dyDescent="0.2">
      <c r="B40" t="s">
        <v>84</v>
      </c>
      <c r="C40" s="12">
        <v>18</v>
      </c>
      <c r="D40" s="8">
        <v>1.6</v>
      </c>
      <c r="E40" s="12">
        <v>8</v>
      </c>
      <c r="F40" s="8">
        <v>1.1499999999999999</v>
      </c>
      <c r="G40" s="12">
        <v>10</v>
      </c>
      <c r="H40" s="8">
        <v>2.4500000000000002</v>
      </c>
      <c r="I40" s="12">
        <v>0</v>
      </c>
    </row>
    <row r="41" spans="2:9" ht="15" customHeight="1" x14ac:dyDescent="0.2">
      <c r="B41" t="s">
        <v>108</v>
      </c>
      <c r="C41" s="12">
        <v>16</v>
      </c>
      <c r="D41" s="8">
        <v>1.43</v>
      </c>
      <c r="E41" s="12">
        <v>4</v>
      </c>
      <c r="F41" s="8">
        <v>0.56999999999999995</v>
      </c>
      <c r="G41" s="12">
        <v>12</v>
      </c>
      <c r="H41" s="8">
        <v>2.94</v>
      </c>
      <c r="I41" s="12">
        <v>0</v>
      </c>
    </row>
    <row r="42" spans="2:9" ht="15" customHeight="1" x14ac:dyDescent="0.2">
      <c r="B42" t="s">
        <v>77</v>
      </c>
      <c r="C42" s="12">
        <v>14</v>
      </c>
      <c r="D42" s="8">
        <v>1.25</v>
      </c>
      <c r="E42" s="12">
        <v>7</v>
      </c>
      <c r="F42" s="8">
        <v>1</v>
      </c>
      <c r="G42" s="12">
        <v>7</v>
      </c>
      <c r="H42" s="8">
        <v>1.72</v>
      </c>
      <c r="I42" s="12">
        <v>0</v>
      </c>
    </row>
    <row r="43" spans="2:9" ht="15" customHeight="1" x14ac:dyDescent="0.2">
      <c r="B43" t="s">
        <v>101</v>
      </c>
      <c r="C43" s="12">
        <v>14</v>
      </c>
      <c r="D43" s="8">
        <v>1.25</v>
      </c>
      <c r="E43" s="12">
        <v>5</v>
      </c>
      <c r="F43" s="8">
        <v>0.72</v>
      </c>
      <c r="G43" s="12">
        <v>9</v>
      </c>
      <c r="H43" s="8">
        <v>2.21</v>
      </c>
      <c r="I43" s="12">
        <v>0</v>
      </c>
    </row>
    <row r="44" spans="2:9" ht="15" customHeight="1" x14ac:dyDescent="0.2">
      <c r="B44" t="s">
        <v>90</v>
      </c>
      <c r="C44" s="12">
        <v>14</v>
      </c>
      <c r="D44" s="8">
        <v>1.25</v>
      </c>
      <c r="E44" s="12">
        <v>8</v>
      </c>
      <c r="F44" s="8">
        <v>1.1499999999999999</v>
      </c>
      <c r="G44" s="12">
        <v>6</v>
      </c>
      <c r="H44" s="8">
        <v>1.47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122</v>
      </c>
      <c r="C48" s="12">
        <v>43</v>
      </c>
      <c r="D48" s="8">
        <v>3.83</v>
      </c>
      <c r="E48" s="12">
        <v>13</v>
      </c>
      <c r="F48" s="8">
        <v>1.87</v>
      </c>
      <c r="G48" s="12">
        <v>30</v>
      </c>
      <c r="H48" s="8">
        <v>7.35</v>
      </c>
      <c r="I48" s="12">
        <v>0</v>
      </c>
    </row>
    <row r="49" spans="2:9" ht="15" customHeight="1" x14ac:dyDescent="0.2">
      <c r="B49" t="s">
        <v>136</v>
      </c>
      <c r="C49" s="12">
        <v>39</v>
      </c>
      <c r="D49" s="8">
        <v>3.48</v>
      </c>
      <c r="E49" s="12">
        <v>37</v>
      </c>
      <c r="F49" s="8">
        <v>5.31</v>
      </c>
      <c r="G49" s="12">
        <v>2</v>
      </c>
      <c r="H49" s="8">
        <v>0.49</v>
      </c>
      <c r="I49" s="12">
        <v>0</v>
      </c>
    </row>
    <row r="50" spans="2:9" ht="15" customHeight="1" x14ac:dyDescent="0.2">
      <c r="B50" t="s">
        <v>138</v>
      </c>
      <c r="C50" s="12">
        <v>38</v>
      </c>
      <c r="D50" s="8">
        <v>3.39</v>
      </c>
      <c r="E50" s="12">
        <v>33</v>
      </c>
      <c r="F50" s="8">
        <v>4.7300000000000004</v>
      </c>
      <c r="G50" s="12">
        <v>5</v>
      </c>
      <c r="H50" s="8">
        <v>1.23</v>
      </c>
      <c r="I50" s="12">
        <v>0</v>
      </c>
    </row>
    <row r="51" spans="2:9" ht="15" customHeight="1" x14ac:dyDescent="0.2">
      <c r="B51" t="s">
        <v>187</v>
      </c>
      <c r="C51" s="12">
        <v>37</v>
      </c>
      <c r="D51" s="8">
        <v>3.3</v>
      </c>
      <c r="E51" s="12">
        <v>34</v>
      </c>
      <c r="F51" s="8">
        <v>4.88</v>
      </c>
      <c r="G51" s="12">
        <v>3</v>
      </c>
      <c r="H51" s="8">
        <v>0.74</v>
      </c>
      <c r="I51" s="12">
        <v>0</v>
      </c>
    </row>
    <row r="52" spans="2:9" ht="15" customHeight="1" x14ac:dyDescent="0.2">
      <c r="B52" t="s">
        <v>132</v>
      </c>
      <c r="C52" s="12">
        <v>33</v>
      </c>
      <c r="D52" s="8">
        <v>2.94</v>
      </c>
      <c r="E52" s="12">
        <v>22</v>
      </c>
      <c r="F52" s="8">
        <v>3.16</v>
      </c>
      <c r="G52" s="12">
        <v>11</v>
      </c>
      <c r="H52" s="8">
        <v>2.7</v>
      </c>
      <c r="I52" s="12">
        <v>0</v>
      </c>
    </row>
    <row r="53" spans="2:9" ht="15" customHeight="1" x14ac:dyDescent="0.2">
      <c r="B53" t="s">
        <v>133</v>
      </c>
      <c r="C53" s="12">
        <v>32</v>
      </c>
      <c r="D53" s="8">
        <v>2.85</v>
      </c>
      <c r="E53" s="12">
        <v>27</v>
      </c>
      <c r="F53" s="8">
        <v>3.87</v>
      </c>
      <c r="G53" s="12">
        <v>5</v>
      </c>
      <c r="H53" s="8">
        <v>1.23</v>
      </c>
      <c r="I53" s="12">
        <v>0</v>
      </c>
    </row>
    <row r="54" spans="2:9" ht="15" customHeight="1" x14ac:dyDescent="0.2">
      <c r="B54" t="s">
        <v>129</v>
      </c>
      <c r="C54" s="12">
        <v>30</v>
      </c>
      <c r="D54" s="8">
        <v>2.67</v>
      </c>
      <c r="E54" s="12">
        <v>23</v>
      </c>
      <c r="F54" s="8">
        <v>3.3</v>
      </c>
      <c r="G54" s="12">
        <v>7</v>
      </c>
      <c r="H54" s="8">
        <v>1.72</v>
      </c>
      <c r="I54" s="12">
        <v>0</v>
      </c>
    </row>
    <row r="55" spans="2:9" ht="15" customHeight="1" x14ac:dyDescent="0.2">
      <c r="B55" t="s">
        <v>169</v>
      </c>
      <c r="C55" s="12">
        <v>28</v>
      </c>
      <c r="D55" s="8">
        <v>2.5</v>
      </c>
      <c r="E55" s="12">
        <v>21</v>
      </c>
      <c r="F55" s="8">
        <v>3.01</v>
      </c>
      <c r="G55" s="12">
        <v>7</v>
      </c>
      <c r="H55" s="8">
        <v>1.72</v>
      </c>
      <c r="I55" s="12">
        <v>0</v>
      </c>
    </row>
    <row r="56" spans="2:9" ht="15" customHeight="1" x14ac:dyDescent="0.2">
      <c r="B56" t="s">
        <v>137</v>
      </c>
      <c r="C56" s="12">
        <v>28</v>
      </c>
      <c r="D56" s="8">
        <v>2.5</v>
      </c>
      <c r="E56" s="12">
        <v>28</v>
      </c>
      <c r="F56" s="8">
        <v>4.0199999999999996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151</v>
      </c>
      <c r="C57" s="12">
        <v>27</v>
      </c>
      <c r="D57" s="8">
        <v>2.41</v>
      </c>
      <c r="E57" s="12">
        <v>21</v>
      </c>
      <c r="F57" s="8">
        <v>3.01</v>
      </c>
      <c r="G57" s="12">
        <v>6</v>
      </c>
      <c r="H57" s="8">
        <v>1.47</v>
      </c>
      <c r="I57" s="12">
        <v>0</v>
      </c>
    </row>
    <row r="58" spans="2:9" ht="15" customHeight="1" x14ac:dyDescent="0.2">
      <c r="B58" t="s">
        <v>189</v>
      </c>
      <c r="C58" s="12">
        <v>27</v>
      </c>
      <c r="D58" s="8">
        <v>2.41</v>
      </c>
      <c r="E58" s="12">
        <v>26</v>
      </c>
      <c r="F58" s="8">
        <v>3.73</v>
      </c>
      <c r="G58" s="12">
        <v>1</v>
      </c>
      <c r="H58" s="8">
        <v>0.25</v>
      </c>
      <c r="I58" s="12">
        <v>0</v>
      </c>
    </row>
    <row r="59" spans="2:9" ht="15" customHeight="1" x14ac:dyDescent="0.2">
      <c r="B59" t="s">
        <v>127</v>
      </c>
      <c r="C59" s="12">
        <v>23</v>
      </c>
      <c r="D59" s="8">
        <v>2.0499999999999998</v>
      </c>
      <c r="E59" s="12">
        <v>17</v>
      </c>
      <c r="F59" s="8">
        <v>2.44</v>
      </c>
      <c r="G59" s="12">
        <v>6</v>
      </c>
      <c r="H59" s="8">
        <v>1.47</v>
      </c>
      <c r="I59" s="12">
        <v>0</v>
      </c>
    </row>
    <row r="60" spans="2:9" ht="15" customHeight="1" x14ac:dyDescent="0.2">
      <c r="B60" t="s">
        <v>123</v>
      </c>
      <c r="C60" s="12">
        <v>21</v>
      </c>
      <c r="D60" s="8">
        <v>1.87</v>
      </c>
      <c r="E60" s="12">
        <v>8</v>
      </c>
      <c r="F60" s="8">
        <v>1.1499999999999999</v>
      </c>
      <c r="G60" s="12">
        <v>13</v>
      </c>
      <c r="H60" s="8">
        <v>3.19</v>
      </c>
      <c r="I60" s="12">
        <v>0</v>
      </c>
    </row>
    <row r="61" spans="2:9" ht="15" customHeight="1" x14ac:dyDescent="0.2">
      <c r="B61" t="s">
        <v>126</v>
      </c>
      <c r="C61" s="12">
        <v>20</v>
      </c>
      <c r="D61" s="8">
        <v>1.78</v>
      </c>
      <c r="E61" s="12">
        <v>16</v>
      </c>
      <c r="F61" s="8">
        <v>2.2999999999999998</v>
      </c>
      <c r="G61" s="12">
        <v>4</v>
      </c>
      <c r="H61" s="8">
        <v>0.98</v>
      </c>
      <c r="I61" s="12">
        <v>0</v>
      </c>
    </row>
    <row r="62" spans="2:9" ht="15" customHeight="1" x14ac:dyDescent="0.2">
      <c r="B62" t="s">
        <v>141</v>
      </c>
      <c r="C62" s="12">
        <v>18</v>
      </c>
      <c r="D62" s="8">
        <v>1.6</v>
      </c>
      <c r="E62" s="12">
        <v>16</v>
      </c>
      <c r="F62" s="8">
        <v>2.2999999999999998</v>
      </c>
      <c r="G62" s="12">
        <v>2</v>
      </c>
      <c r="H62" s="8">
        <v>0.49</v>
      </c>
      <c r="I62" s="12">
        <v>0</v>
      </c>
    </row>
    <row r="63" spans="2:9" ht="15" customHeight="1" x14ac:dyDescent="0.2">
      <c r="B63" t="s">
        <v>185</v>
      </c>
      <c r="C63" s="12">
        <v>16</v>
      </c>
      <c r="D63" s="8">
        <v>1.43</v>
      </c>
      <c r="E63" s="12">
        <v>15</v>
      </c>
      <c r="F63" s="8">
        <v>2.15</v>
      </c>
      <c r="G63" s="12">
        <v>1</v>
      </c>
      <c r="H63" s="8">
        <v>0.25</v>
      </c>
      <c r="I63" s="12">
        <v>0</v>
      </c>
    </row>
    <row r="64" spans="2:9" ht="15" customHeight="1" x14ac:dyDescent="0.2">
      <c r="B64" t="s">
        <v>130</v>
      </c>
      <c r="C64" s="12">
        <v>15</v>
      </c>
      <c r="D64" s="8">
        <v>1.34</v>
      </c>
      <c r="E64" s="12">
        <v>6</v>
      </c>
      <c r="F64" s="8">
        <v>0.86</v>
      </c>
      <c r="G64" s="12">
        <v>9</v>
      </c>
      <c r="H64" s="8">
        <v>2.21</v>
      </c>
      <c r="I64" s="12">
        <v>0</v>
      </c>
    </row>
    <row r="65" spans="2:9" ht="15" customHeight="1" x14ac:dyDescent="0.2">
      <c r="B65" t="s">
        <v>159</v>
      </c>
      <c r="C65" s="12">
        <v>14</v>
      </c>
      <c r="D65" s="8">
        <v>1.25</v>
      </c>
      <c r="E65" s="12">
        <v>10</v>
      </c>
      <c r="F65" s="8">
        <v>1.43</v>
      </c>
      <c r="G65" s="12">
        <v>4</v>
      </c>
      <c r="H65" s="8">
        <v>0.98</v>
      </c>
      <c r="I65" s="12">
        <v>0</v>
      </c>
    </row>
    <row r="66" spans="2:9" ht="15" customHeight="1" x14ac:dyDescent="0.2">
      <c r="B66" t="s">
        <v>144</v>
      </c>
      <c r="C66" s="12">
        <v>14</v>
      </c>
      <c r="D66" s="8">
        <v>1.25</v>
      </c>
      <c r="E66" s="12">
        <v>6</v>
      </c>
      <c r="F66" s="8">
        <v>0.86</v>
      </c>
      <c r="G66" s="12">
        <v>8</v>
      </c>
      <c r="H66" s="8">
        <v>1.96</v>
      </c>
      <c r="I66" s="12">
        <v>0</v>
      </c>
    </row>
    <row r="67" spans="2:9" ht="15" customHeight="1" x14ac:dyDescent="0.2">
      <c r="B67" t="s">
        <v>186</v>
      </c>
      <c r="C67" s="12">
        <v>13</v>
      </c>
      <c r="D67" s="8">
        <v>1.1599999999999999</v>
      </c>
      <c r="E67" s="12">
        <v>12</v>
      </c>
      <c r="F67" s="8">
        <v>1.72</v>
      </c>
      <c r="G67" s="12">
        <v>1</v>
      </c>
      <c r="H67" s="8">
        <v>0.25</v>
      </c>
      <c r="I67" s="12">
        <v>0</v>
      </c>
    </row>
    <row r="68" spans="2:9" ht="15" customHeight="1" x14ac:dyDescent="0.2">
      <c r="B68" t="s">
        <v>176</v>
      </c>
      <c r="C68" s="12">
        <v>13</v>
      </c>
      <c r="D68" s="8">
        <v>1.1599999999999999</v>
      </c>
      <c r="E68" s="12">
        <v>8</v>
      </c>
      <c r="F68" s="8">
        <v>1.1499999999999999</v>
      </c>
      <c r="G68" s="12">
        <v>5</v>
      </c>
      <c r="H68" s="8">
        <v>1.23</v>
      </c>
      <c r="I68" s="12">
        <v>0</v>
      </c>
    </row>
    <row r="69" spans="2:9" ht="15" customHeight="1" x14ac:dyDescent="0.2">
      <c r="B69" t="s">
        <v>188</v>
      </c>
      <c r="C69" s="12">
        <v>13</v>
      </c>
      <c r="D69" s="8">
        <v>1.1599999999999999</v>
      </c>
      <c r="E69" s="12">
        <v>8</v>
      </c>
      <c r="F69" s="8">
        <v>1.1499999999999999</v>
      </c>
      <c r="G69" s="12">
        <v>5</v>
      </c>
      <c r="H69" s="8">
        <v>1.23</v>
      </c>
      <c r="I69" s="12">
        <v>0</v>
      </c>
    </row>
    <row r="70" spans="2:9" ht="15" customHeight="1" x14ac:dyDescent="0.2">
      <c r="B70" t="s">
        <v>128</v>
      </c>
      <c r="C70" s="12">
        <v>13</v>
      </c>
      <c r="D70" s="8">
        <v>1.1599999999999999</v>
      </c>
      <c r="E70" s="12">
        <v>4</v>
      </c>
      <c r="F70" s="8">
        <v>0.56999999999999995</v>
      </c>
      <c r="G70" s="12">
        <v>9</v>
      </c>
      <c r="H70" s="8">
        <v>2.21</v>
      </c>
      <c r="I70" s="12">
        <v>0</v>
      </c>
    </row>
    <row r="72" spans="2:9" ht="15" customHeight="1" x14ac:dyDescent="0.2">
      <c r="B72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508A5-74CD-4E5A-A3B9-E1A086D1C10E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249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1</v>
      </c>
      <c r="D5" s="8">
        <v>0.14000000000000001</v>
      </c>
      <c r="E5" s="12">
        <v>0</v>
      </c>
      <c r="F5" s="8">
        <v>0</v>
      </c>
      <c r="G5" s="12">
        <v>1</v>
      </c>
      <c r="H5" s="8">
        <v>0.41</v>
      </c>
      <c r="I5" s="12">
        <v>0</v>
      </c>
    </row>
    <row r="6" spans="2:9" ht="15" customHeight="1" x14ac:dyDescent="0.2">
      <c r="B6" t="s">
        <v>52</v>
      </c>
      <c r="C6" s="12">
        <v>124</v>
      </c>
      <c r="D6" s="8">
        <v>17.64</v>
      </c>
      <c r="E6" s="12">
        <v>71</v>
      </c>
      <c r="F6" s="8">
        <v>15.99</v>
      </c>
      <c r="G6" s="12">
        <v>53</v>
      </c>
      <c r="H6" s="8">
        <v>21.99</v>
      </c>
      <c r="I6" s="12">
        <v>0</v>
      </c>
    </row>
    <row r="7" spans="2:9" ht="15" customHeight="1" x14ac:dyDescent="0.2">
      <c r="B7" t="s">
        <v>53</v>
      </c>
      <c r="C7" s="12">
        <v>91</v>
      </c>
      <c r="D7" s="8">
        <v>12.94</v>
      </c>
      <c r="E7" s="12">
        <v>45</v>
      </c>
      <c r="F7" s="8">
        <v>10.14</v>
      </c>
      <c r="G7" s="12">
        <v>44</v>
      </c>
      <c r="H7" s="8">
        <v>18.260000000000002</v>
      </c>
      <c r="I7" s="12">
        <v>1</v>
      </c>
    </row>
    <row r="8" spans="2:9" ht="15" customHeight="1" x14ac:dyDescent="0.2">
      <c r="B8" t="s">
        <v>54</v>
      </c>
      <c r="C8" s="12">
        <v>1</v>
      </c>
      <c r="D8" s="8">
        <v>0.14000000000000001</v>
      </c>
      <c r="E8" s="12">
        <v>0</v>
      </c>
      <c r="F8" s="8">
        <v>0</v>
      </c>
      <c r="G8" s="12">
        <v>1</v>
      </c>
      <c r="H8" s="8">
        <v>0.41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0.14000000000000001</v>
      </c>
      <c r="E9" s="12">
        <v>0</v>
      </c>
      <c r="F9" s="8">
        <v>0</v>
      </c>
      <c r="G9" s="12">
        <v>1</v>
      </c>
      <c r="H9" s="8">
        <v>0.41</v>
      </c>
      <c r="I9" s="12">
        <v>0</v>
      </c>
    </row>
    <row r="10" spans="2:9" ht="15" customHeight="1" x14ac:dyDescent="0.2">
      <c r="B10" t="s">
        <v>56</v>
      </c>
      <c r="C10" s="12">
        <v>11</v>
      </c>
      <c r="D10" s="8">
        <v>1.56</v>
      </c>
      <c r="E10" s="12">
        <v>3</v>
      </c>
      <c r="F10" s="8">
        <v>0.68</v>
      </c>
      <c r="G10" s="12">
        <v>7</v>
      </c>
      <c r="H10" s="8">
        <v>2.9</v>
      </c>
      <c r="I10" s="12">
        <v>1</v>
      </c>
    </row>
    <row r="11" spans="2:9" ht="15" customHeight="1" x14ac:dyDescent="0.2">
      <c r="B11" t="s">
        <v>57</v>
      </c>
      <c r="C11" s="12">
        <v>177</v>
      </c>
      <c r="D11" s="8">
        <v>25.18</v>
      </c>
      <c r="E11" s="12">
        <v>110</v>
      </c>
      <c r="F11" s="8">
        <v>24.77</v>
      </c>
      <c r="G11" s="12">
        <v>67</v>
      </c>
      <c r="H11" s="8">
        <v>27.8</v>
      </c>
      <c r="I11" s="12">
        <v>0</v>
      </c>
    </row>
    <row r="12" spans="2:9" ht="15" customHeight="1" x14ac:dyDescent="0.2">
      <c r="B12" t="s">
        <v>58</v>
      </c>
      <c r="C12" s="12">
        <v>4</v>
      </c>
      <c r="D12" s="8">
        <v>0.56999999999999995</v>
      </c>
      <c r="E12" s="12">
        <v>2</v>
      </c>
      <c r="F12" s="8">
        <v>0.45</v>
      </c>
      <c r="G12" s="12">
        <v>2</v>
      </c>
      <c r="H12" s="8">
        <v>0.83</v>
      </c>
      <c r="I12" s="12">
        <v>0</v>
      </c>
    </row>
    <row r="13" spans="2:9" ht="15" customHeight="1" x14ac:dyDescent="0.2">
      <c r="B13" t="s">
        <v>59</v>
      </c>
      <c r="C13" s="12">
        <v>40</v>
      </c>
      <c r="D13" s="8">
        <v>5.69</v>
      </c>
      <c r="E13" s="12">
        <v>20</v>
      </c>
      <c r="F13" s="8">
        <v>4.5</v>
      </c>
      <c r="G13" s="12">
        <v>20</v>
      </c>
      <c r="H13" s="8">
        <v>8.3000000000000007</v>
      </c>
      <c r="I13" s="12">
        <v>0</v>
      </c>
    </row>
    <row r="14" spans="2:9" ht="15" customHeight="1" x14ac:dyDescent="0.2">
      <c r="B14" t="s">
        <v>60</v>
      </c>
      <c r="C14" s="12">
        <v>23</v>
      </c>
      <c r="D14" s="8">
        <v>3.27</v>
      </c>
      <c r="E14" s="12">
        <v>16</v>
      </c>
      <c r="F14" s="8">
        <v>3.6</v>
      </c>
      <c r="G14" s="12">
        <v>6</v>
      </c>
      <c r="H14" s="8">
        <v>2.4900000000000002</v>
      </c>
      <c r="I14" s="12">
        <v>0</v>
      </c>
    </row>
    <row r="15" spans="2:9" ht="15" customHeight="1" x14ac:dyDescent="0.2">
      <c r="B15" t="s">
        <v>61</v>
      </c>
      <c r="C15" s="12">
        <v>92</v>
      </c>
      <c r="D15" s="8">
        <v>13.09</v>
      </c>
      <c r="E15" s="12">
        <v>75</v>
      </c>
      <c r="F15" s="8">
        <v>16.89</v>
      </c>
      <c r="G15" s="12">
        <v>16</v>
      </c>
      <c r="H15" s="8">
        <v>6.64</v>
      </c>
      <c r="I15" s="12">
        <v>1</v>
      </c>
    </row>
    <row r="16" spans="2:9" ht="15" customHeight="1" x14ac:dyDescent="0.2">
      <c r="B16" t="s">
        <v>62</v>
      </c>
      <c r="C16" s="12">
        <v>68</v>
      </c>
      <c r="D16" s="8">
        <v>9.67</v>
      </c>
      <c r="E16" s="12">
        <v>58</v>
      </c>
      <c r="F16" s="8">
        <v>13.06</v>
      </c>
      <c r="G16" s="12">
        <v>9</v>
      </c>
      <c r="H16" s="8">
        <v>3.73</v>
      </c>
      <c r="I16" s="12">
        <v>0</v>
      </c>
    </row>
    <row r="17" spans="2:9" ht="15" customHeight="1" x14ac:dyDescent="0.2">
      <c r="B17" t="s">
        <v>63</v>
      </c>
      <c r="C17" s="12">
        <v>32</v>
      </c>
      <c r="D17" s="8">
        <v>4.55</v>
      </c>
      <c r="E17" s="12">
        <v>26</v>
      </c>
      <c r="F17" s="8">
        <v>5.86</v>
      </c>
      <c r="G17" s="12">
        <v>2</v>
      </c>
      <c r="H17" s="8">
        <v>0.83</v>
      </c>
      <c r="I17" s="12">
        <v>1</v>
      </c>
    </row>
    <row r="18" spans="2:9" ht="15" customHeight="1" x14ac:dyDescent="0.2">
      <c r="B18" t="s">
        <v>64</v>
      </c>
      <c r="C18" s="12">
        <v>19</v>
      </c>
      <c r="D18" s="8">
        <v>2.7</v>
      </c>
      <c r="E18" s="12">
        <v>9</v>
      </c>
      <c r="F18" s="8">
        <v>2.0299999999999998</v>
      </c>
      <c r="G18" s="12">
        <v>6</v>
      </c>
      <c r="H18" s="8">
        <v>2.4900000000000002</v>
      </c>
      <c r="I18" s="12">
        <v>0</v>
      </c>
    </row>
    <row r="19" spans="2:9" ht="15" customHeight="1" x14ac:dyDescent="0.2">
      <c r="B19" t="s">
        <v>65</v>
      </c>
      <c r="C19" s="12">
        <v>19</v>
      </c>
      <c r="D19" s="8">
        <v>2.7</v>
      </c>
      <c r="E19" s="12">
        <v>9</v>
      </c>
      <c r="F19" s="8">
        <v>2.0299999999999998</v>
      </c>
      <c r="G19" s="12">
        <v>6</v>
      </c>
      <c r="H19" s="8">
        <v>2.4900000000000002</v>
      </c>
      <c r="I19" s="12">
        <v>3</v>
      </c>
    </row>
    <row r="20" spans="2:9" ht="15" customHeight="1" x14ac:dyDescent="0.2">
      <c r="B20" s="9" t="s">
        <v>215</v>
      </c>
      <c r="C20" s="12">
        <f>SUM(LTBL_28222[総数／事業所数])</f>
        <v>703</v>
      </c>
      <c r="E20" s="12">
        <f>SUBTOTAL(109,LTBL_28222[個人／事業所数])</f>
        <v>444</v>
      </c>
      <c r="G20" s="12">
        <f>SUBTOTAL(109,LTBL_28222[法人／事業所数])</f>
        <v>241</v>
      </c>
      <c r="I20" s="12">
        <f>SUBTOTAL(109,LTBL_28222[法人以外の団体／事業所数])</f>
        <v>7</v>
      </c>
    </row>
    <row r="21" spans="2:9" ht="15" customHeight="1" x14ac:dyDescent="0.2">
      <c r="E21" s="11">
        <f>LTBL_28222[[#Totals],[個人／事業所数]]/LTBL_28222[[#Totals],[総数／事業所数]]</f>
        <v>0.63157894736842102</v>
      </c>
      <c r="G21" s="11">
        <f>LTBL_28222[[#Totals],[法人／事業所数]]/LTBL_28222[[#Totals],[総数／事業所数]]</f>
        <v>0.34281650071123754</v>
      </c>
      <c r="I21" s="11">
        <f>LTBL_28222[[#Totals],[法人以外の団体／事業所数]]/LTBL_28222[[#Totals],[総数／事業所数]]</f>
        <v>9.9573257467994308E-3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67</v>
      </c>
      <c r="D24" s="8">
        <v>9.5299999999999994</v>
      </c>
      <c r="E24" s="12">
        <v>29</v>
      </c>
      <c r="F24" s="8">
        <v>6.53</v>
      </c>
      <c r="G24" s="12">
        <v>38</v>
      </c>
      <c r="H24" s="8">
        <v>15.77</v>
      </c>
      <c r="I24" s="12">
        <v>0</v>
      </c>
    </row>
    <row r="25" spans="2:9" ht="15" customHeight="1" x14ac:dyDescent="0.2">
      <c r="B25" t="s">
        <v>83</v>
      </c>
      <c r="C25" s="12">
        <v>67</v>
      </c>
      <c r="D25" s="8">
        <v>9.5299999999999994</v>
      </c>
      <c r="E25" s="12">
        <v>33</v>
      </c>
      <c r="F25" s="8">
        <v>7.43</v>
      </c>
      <c r="G25" s="12">
        <v>34</v>
      </c>
      <c r="H25" s="8">
        <v>14.11</v>
      </c>
      <c r="I25" s="12">
        <v>0</v>
      </c>
    </row>
    <row r="26" spans="2:9" ht="15" customHeight="1" x14ac:dyDescent="0.2">
      <c r="B26" t="s">
        <v>89</v>
      </c>
      <c r="C26" s="12">
        <v>57</v>
      </c>
      <c r="D26" s="8">
        <v>8.11</v>
      </c>
      <c r="E26" s="12">
        <v>51</v>
      </c>
      <c r="F26" s="8">
        <v>11.49</v>
      </c>
      <c r="G26" s="12">
        <v>6</v>
      </c>
      <c r="H26" s="8">
        <v>2.4900000000000002</v>
      </c>
      <c r="I26" s="12">
        <v>0</v>
      </c>
    </row>
    <row r="27" spans="2:9" ht="15" customHeight="1" x14ac:dyDescent="0.2">
      <c r="B27" t="s">
        <v>88</v>
      </c>
      <c r="C27" s="12">
        <v>46</v>
      </c>
      <c r="D27" s="8">
        <v>6.54</v>
      </c>
      <c r="E27" s="12">
        <v>40</v>
      </c>
      <c r="F27" s="8">
        <v>9.01</v>
      </c>
      <c r="G27" s="12">
        <v>5</v>
      </c>
      <c r="H27" s="8">
        <v>2.0699999999999998</v>
      </c>
      <c r="I27" s="12">
        <v>1</v>
      </c>
    </row>
    <row r="28" spans="2:9" ht="15" customHeight="1" x14ac:dyDescent="0.2">
      <c r="B28" t="s">
        <v>105</v>
      </c>
      <c r="C28" s="12">
        <v>43</v>
      </c>
      <c r="D28" s="8">
        <v>6.12</v>
      </c>
      <c r="E28" s="12">
        <v>32</v>
      </c>
      <c r="F28" s="8">
        <v>7.21</v>
      </c>
      <c r="G28" s="12">
        <v>11</v>
      </c>
      <c r="H28" s="8">
        <v>4.5599999999999996</v>
      </c>
      <c r="I28" s="12">
        <v>0</v>
      </c>
    </row>
    <row r="29" spans="2:9" ht="15" customHeight="1" x14ac:dyDescent="0.2">
      <c r="B29" t="s">
        <v>81</v>
      </c>
      <c r="C29" s="12">
        <v>35</v>
      </c>
      <c r="D29" s="8">
        <v>4.9800000000000004</v>
      </c>
      <c r="E29" s="12">
        <v>31</v>
      </c>
      <c r="F29" s="8">
        <v>6.98</v>
      </c>
      <c r="G29" s="12">
        <v>4</v>
      </c>
      <c r="H29" s="8">
        <v>1.66</v>
      </c>
      <c r="I29" s="12">
        <v>0</v>
      </c>
    </row>
    <row r="30" spans="2:9" ht="15" customHeight="1" x14ac:dyDescent="0.2">
      <c r="B30" t="s">
        <v>85</v>
      </c>
      <c r="C30" s="12">
        <v>34</v>
      </c>
      <c r="D30" s="8">
        <v>4.84</v>
      </c>
      <c r="E30" s="12">
        <v>19</v>
      </c>
      <c r="F30" s="8">
        <v>4.28</v>
      </c>
      <c r="G30" s="12">
        <v>15</v>
      </c>
      <c r="H30" s="8">
        <v>6.22</v>
      </c>
      <c r="I30" s="12">
        <v>0</v>
      </c>
    </row>
    <row r="31" spans="2:9" ht="15" customHeight="1" x14ac:dyDescent="0.2">
      <c r="B31" t="s">
        <v>75</v>
      </c>
      <c r="C31" s="12">
        <v>32</v>
      </c>
      <c r="D31" s="8">
        <v>4.55</v>
      </c>
      <c r="E31" s="12">
        <v>26</v>
      </c>
      <c r="F31" s="8">
        <v>5.86</v>
      </c>
      <c r="G31" s="12">
        <v>6</v>
      </c>
      <c r="H31" s="8">
        <v>2.4900000000000002</v>
      </c>
      <c r="I31" s="12">
        <v>0</v>
      </c>
    </row>
    <row r="32" spans="2:9" ht="15" customHeight="1" x14ac:dyDescent="0.2">
      <c r="B32" t="s">
        <v>91</v>
      </c>
      <c r="C32" s="12">
        <v>32</v>
      </c>
      <c r="D32" s="8">
        <v>4.55</v>
      </c>
      <c r="E32" s="12">
        <v>26</v>
      </c>
      <c r="F32" s="8">
        <v>5.86</v>
      </c>
      <c r="G32" s="12">
        <v>2</v>
      </c>
      <c r="H32" s="8">
        <v>0.83</v>
      </c>
      <c r="I32" s="12">
        <v>1</v>
      </c>
    </row>
    <row r="33" spans="2:9" ht="15" customHeight="1" x14ac:dyDescent="0.2">
      <c r="B33" t="s">
        <v>82</v>
      </c>
      <c r="C33" s="12">
        <v>26</v>
      </c>
      <c r="D33" s="8">
        <v>3.7</v>
      </c>
      <c r="E33" s="12">
        <v>20</v>
      </c>
      <c r="F33" s="8">
        <v>4.5</v>
      </c>
      <c r="G33" s="12">
        <v>6</v>
      </c>
      <c r="H33" s="8">
        <v>2.4900000000000002</v>
      </c>
      <c r="I33" s="12">
        <v>0</v>
      </c>
    </row>
    <row r="34" spans="2:9" ht="15" customHeight="1" x14ac:dyDescent="0.2">
      <c r="B34" t="s">
        <v>76</v>
      </c>
      <c r="C34" s="12">
        <v>25</v>
      </c>
      <c r="D34" s="8">
        <v>3.56</v>
      </c>
      <c r="E34" s="12">
        <v>16</v>
      </c>
      <c r="F34" s="8">
        <v>3.6</v>
      </c>
      <c r="G34" s="12">
        <v>9</v>
      </c>
      <c r="H34" s="8">
        <v>3.73</v>
      </c>
      <c r="I34" s="12">
        <v>0</v>
      </c>
    </row>
    <row r="35" spans="2:9" ht="15" customHeight="1" x14ac:dyDescent="0.2">
      <c r="B35" t="s">
        <v>80</v>
      </c>
      <c r="C35" s="12">
        <v>21</v>
      </c>
      <c r="D35" s="8">
        <v>2.99</v>
      </c>
      <c r="E35" s="12">
        <v>14</v>
      </c>
      <c r="F35" s="8">
        <v>3.15</v>
      </c>
      <c r="G35" s="12">
        <v>7</v>
      </c>
      <c r="H35" s="8">
        <v>2.9</v>
      </c>
      <c r="I35" s="12">
        <v>0</v>
      </c>
    </row>
    <row r="36" spans="2:9" ht="15" customHeight="1" x14ac:dyDescent="0.2">
      <c r="B36" t="s">
        <v>87</v>
      </c>
      <c r="C36" s="12">
        <v>15</v>
      </c>
      <c r="D36" s="8">
        <v>2.13</v>
      </c>
      <c r="E36" s="12">
        <v>9</v>
      </c>
      <c r="F36" s="8">
        <v>2.0299999999999998</v>
      </c>
      <c r="G36" s="12">
        <v>5</v>
      </c>
      <c r="H36" s="8">
        <v>2.0699999999999998</v>
      </c>
      <c r="I36" s="12">
        <v>0</v>
      </c>
    </row>
    <row r="37" spans="2:9" ht="15" customHeight="1" x14ac:dyDescent="0.2">
      <c r="B37" t="s">
        <v>77</v>
      </c>
      <c r="C37" s="12">
        <v>13</v>
      </c>
      <c r="D37" s="8">
        <v>1.85</v>
      </c>
      <c r="E37" s="12">
        <v>7</v>
      </c>
      <c r="F37" s="8">
        <v>1.58</v>
      </c>
      <c r="G37" s="12">
        <v>6</v>
      </c>
      <c r="H37" s="8">
        <v>2.4900000000000002</v>
      </c>
      <c r="I37" s="12">
        <v>0</v>
      </c>
    </row>
    <row r="38" spans="2:9" ht="15" customHeight="1" x14ac:dyDescent="0.2">
      <c r="B38" t="s">
        <v>92</v>
      </c>
      <c r="C38" s="12">
        <v>12</v>
      </c>
      <c r="D38" s="8">
        <v>1.71</v>
      </c>
      <c r="E38" s="12">
        <v>9</v>
      </c>
      <c r="F38" s="8">
        <v>2.0299999999999998</v>
      </c>
      <c r="G38" s="12">
        <v>1</v>
      </c>
      <c r="H38" s="8">
        <v>0.41</v>
      </c>
      <c r="I38" s="12">
        <v>0</v>
      </c>
    </row>
    <row r="39" spans="2:9" ht="15" customHeight="1" x14ac:dyDescent="0.2">
      <c r="B39" t="s">
        <v>110</v>
      </c>
      <c r="C39" s="12">
        <v>11</v>
      </c>
      <c r="D39" s="8">
        <v>1.56</v>
      </c>
      <c r="E39" s="12">
        <v>8</v>
      </c>
      <c r="F39" s="8">
        <v>1.8</v>
      </c>
      <c r="G39" s="12">
        <v>3</v>
      </c>
      <c r="H39" s="8">
        <v>1.24</v>
      </c>
      <c r="I39" s="12">
        <v>0</v>
      </c>
    </row>
    <row r="40" spans="2:9" ht="15" customHeight="1" x14ac:dyDescent="0.2">
      <c r="B40" t="s">
        <v>108</v>
      </c>
      <c r="C40" s="12">
        <v>10</v>
      </c>
      <c r="D40" s="8">
        <v>1.42</v>
      </c>
      <c r="E40" s="12">
        <v>4</v>
      </c>
      <c r="F40" s="8">
        <v>0.9</v>
      </c>
      <c r="G40" s="12">
        <v>5</v>
      </c>
      <c r="H40" s="8">
        <v>2.0699999999999998</v>
      </c>
      <c r="I40" s="12">
        <v>1</v>
      </c>
    </row>
    <row r="41" spans="2:9" ht="15" customHeight="1" x14ac:dyDescent="0.2">
      <c r="B41" t="s">
        <v>116</v>
      </c>
      <c r="C41" s="12">
        <v>9</v>
      </c>
      <c r="D41" s="8">
        <v>1.28</v>
      </c>
      <c r="E41" s="12">
        <v>0</v>
      </c>
      <c r="F41" s="8">
        <v>0</v>
      </c>
      <c r="G41" s="12">
        <v>9</v>
      </c>
      <c r="H41" s="8">
        <v>3.73</v>
      </c>
      <c r="I41" s="12">
        <v>0</v>
      </c>
    </row>
    <row r="42" spans="2:9" ht="15" customHeight="1" x14ac:dyDescent="0.2">
      <c r="B42" t="s">
        <v>86</v>
      </c>
      <c r="C42" s="12">
        <v>8</v>
      </c>
      <c r="D42" s="8">
        <v>1.1399999999999999</v>
      </c>
      <c r="E42" s="12">
        <v>7</v>
      </c>
      <c r="F42" s="8">
        <v>1.58</v>
      </c>
      <c r="G42" s="12">
        <v>1</v>
      </c>
      <c r="H42" s="8">
        <v>0.41</v>
      </c>
      <c r="I42" s="12">
        <v>0</v>
      </c>
    </row>
    <row r="43" spans="2:9" ht="15" customHeight="1" x14ac:dyDescent="0.2">
      <c r="B43" t="s">
        <v>104</v>
      </c>
      <c r="C43" s="12">
        <v>8</v>
      </c>
      <c r="D43" s="8">
        <v>1.1399999999999999</v>
      </c>
      <c r="E43" s="12">
        <v>6</v>
      </c>
      <c r="F43" s="8">
        <v>1.35</v>
      </c>
      <c r="G43" s="12">
        <v>2</v>
      </c>
      <c r="H43" s="8">
        <v>0.83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171</v>
      </c>
      <c r="C47" s="12">
        <v>41</v>
      </c>
      <c r="D47" s="8">
        <v>5.83</v>
      </c>
      <c r="E47" s="12">
        <v>30</v>
      </c>
      <c r="F47" s="8">
        <v>6.76</v>
      </c>
      <c r="G47" s="12">
        <v>11</v>
      </c>
      <c r="H47" s="8">
        <v>4.5599999999999996</v>
      </c>
      <c r="I47" s="12">
        <v>0</v>
      </c>
    </row>
    <row r="48" spans="2:9" ht="15" customHeight="1" x14ac:dyDescent="0.2">
      <c r="B48" t="s">
        <v>122</v>
      </c>
      <c r="C48" s="12">
        <v>35</v>
      </c>
      <c r="D48" s="8">
        <v>4.9800000000000004</v>
      </c>
      <c r="E48" s="12">
        <v>11</v>
      </c>
      <c r="F48" s="8">
        <v>2.48</v>
      </c>
      <c r="G48" s="12">
        <v>24</v>
      </c>
      <c r="H48" s="8">
        <v>9.9600000000000009</v>
      </c>
      <c r="I48" s="12">
        <v>0</v>
      </c>
    </row>
    <row r="49" spans="2:9" ht="15" customHeight="1" x14ac:dyDescent="0.2">
      <c r="B49" t="s">
        <v>138</v>
      </c>
      <c r="C49" s="12">
        <v>30</v>
      </c>
      <c r="D49" s="8">
        <v>4.2699999999999996</v>
      </c>
      <c r="E49" s="12">
        <v>30</v>
      </c>
      <c r="F49" s="8">
        <v>6.76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129</v>
      </c>
      <c r="C50" s="12">
        <v>20</v>
      </c>
      <c r="D50" s="8">
        <v>2.84</v>
      </c>
      <c r="E50" s="12">
        <v>12</v>
      </c>
      <c r="F50" s="8">
        <v>2.7</v>
      </c>
      <c r="G50" s="12">
        <v>8</v>
      </c>
      <c r="H50" s="8">
        <v>3.32</v>
      </c>
      <c r="I50" s="12">
        <v>0</v>
      </c>
    </row>
    <row r="51" spans="2:9" ht="15" customHeight="1" x14ac:dyDescent="0.2">
      <c r="B51" t="s">
        <v>132</v>
      </c>
      <c r="C51" s="12">
        <v>20</v>
      </c>
      <c r="D51" s="8">
        <v>2.84</v>
      </c>
      <c r="E51" s="12">
        <v>14</v>
      </c>
      <c r="F51" s="8">
        <v>3.15</v>
      </c>
      <c r="G51" s="12">
        <v>6</v>
      </c>
      <c r="H51" s="8">
        <v>2.4900000000000002</v>
      </c>
      <c r="I51" s="12">
        <v>0</v>
      </c>
    </row>
    <row r="52" spans="2:9" ht="15" customHeight="1" x14ac:dyDescent="0.2">
      <c r="B52" t="s">
        <v>137</v>
      </c>
      <c r="C52" s="12">
        <v>19</v>
      </c>
      <c r="D52" s="8">
        <v>2.7</v>
      </c>
      <c r="E52" s="12">
        <v>19</v>
      </c>
      <c r="F52" s="8">
        <v>4.28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139</v>
      </c>
      <c r="C53" s="12">
        <v>18</v>
      </c>
      <c r="D53" s="8">
        <v>2.56</v>
      </c>
      <c r="E53" s="12">
        <v>17</v>
      </c>
      <c r="F53" s="8">
        <v>3.83</v>
      </c>
      <c r="G53" s="12">
        <v>1</v>
      </c>
      <c r="H53" s="8">
        <v>0.41</v>
      </c>
      <c r="I53" s="12">
        <v>0</v>
      </c>
    </row>
    <row r="54" spans="2:9" ht="15" customHeight="1" x14ac:dyDescent="0.2">
      <c r="B54" t="s">
        <v>127</v>
      </c>
      <c r="C54" s="12">
        <v>16</v>
      </c>
      <c r="D54" s="8">
        <v>2.2799999999999998</v>
      </c>
      <c r="E54" s="12">
        <v>14</v>
      </c>
      <c r="F54" s="8">
        <v>3.15</v>
      </c>
      <c r="G54" s="12">
        <v>2</v>
      </c>
      <c r="H54" s="8">
        <v>0.83</v>
      </c>
      <c r="I54" s="12">
        <v>0</v>
      </c>
    </row>
    <row r="55" spans="2:9" ht="15" customHeight="1" x14ac:dyDescent="0.2">
      <c r="B55" t="s">
        <v>136</v>
      </c>
      <c r="C55" s="12">
        <v>16</v>
      </c>
      <c r="D55" s="8">
        <v>2.2799999999999998</v>
      </c>
      <c r="E55" s="12">
        <v>13</v>
      </c>
      <c r="F55" s="8">
        <v>2.93</v>
      </c>
      <c r="G55" s="12">
        <v>2</v>
      </c>
      <c r="H55" s="8">
        <v>0.83</v>
      </c>
      <c r="I55" s="12">
        <v>1</v>
      </c>
    </row>
    <row r="56" spans="2:9" ht="15" customHeight="1" x14ac:dyDescent="0.2">
      <c r="B56" t="s">
        <v>169</v>
      </c>
      <c r="C56" s="12">
        <v>14</v>
      </c>
      <c r="D56" s="8">
        <v>1.99</v>
      </c>
      <c r="E56" s="12">
        <v>13</v>
      </c>
      <c r="F56" s="8">
        <v>2.93</v>
      </c>
      <c r="G56" s="12">
        <v>1</v>
      </c>
      <c r="H56" s="8">
        <v>0.41</v>
      </c>
      <c r="I56" s="12">
        <v>0</v>
      </c>
    </row>
    <row r="57" spans="2:9" ht="15" customHeight="1" x14ac:dyDescent="0.2">
      <c r="B57" t="s">
        <v>124</v>
      </c>
      <c r="C57" s="12">
        <v>13</v>
      </c>
      <c r="D57" s="8">
        <v>1.85</v>
      </c>
      <c r="E57" s="12">
        <v>8</v>
      </c>
      <c r="F57" s="8">
        <v>1.8</v>
      </c>
      <c r="G57" s="12">
        <v>5</v>
      </c>
      <c r="H57" s="8">
        <v>2.0699999999999998</v>
      </c>
      <c r="I57" s="12">
        <v>0</v>
      </c>
    </row>
    <row r="58" spans="2:9" ht="15" customHeight="1" x14ac:dyDescent="0.2">
      <c r="B58" t="s">
        <v>125</v>
      </c>
      <c r="C58" s="12">
        <v>13</v>
      </c>
      <c r="D58" s="8">
        <v>1.85</v>
      </c>
      <c r="E58" s="12">
        <v>9</v>
      </c>
      <c r="F58" s="8">
        <v>2.0299999999999998</v>
      </c>
      <c r="G58" s="12">
        <v>4</v>
      </c>
      <c r="H58" s="8">
        <v>1.66</v>
      </c>
      <c r="I58" s="12">
        <v>0</v>
      </c>
    </row>
    <row r="59" spans="2:9" ht="15" customHeight="1" x14ac:dyDescent="0.2">
      <c r="B59" t="s">
        <v>126</v>
      </c>
      <c r="C59" s="12">
        <v>13</v>
      </c>
      <c r="D59" s="8">
        <v>1.85</v>
      </c>
      <c r="E59" s="12">
        <v>11</v>
      </c>
      <c r="F59" s="8">
        <v>2.48</v>
      </c>
      <c r="G59" s="12">
        <v>2</v>
      </c>
      <c r="H59" s="8">
        <v>0.83</v>
      </c>
      <c r="I59" s="12">
        <v>0</v>
      </c>
    </row>
    <row r="60" spans="2:9" ht="15" customHeight="1" x14ac:dyDescent="0.2">
      <c r="B60" t="s">
        <v>128</v>
      </c>
      <c r="C60" s="12">
        <v>12</v>
      </c>
      <c r="D60" s="8">
        <v>1.71</v>
      </c>
      <c r="E60" s="12">
        <v>6</v>
      </c>
      <c r="F60" s="8">
        <v>1.35</v>
      </c>
      <c r="G60" s="12">
        <v>6</v>
      </c>
      <c r="H60" s="8">
        <v>2.4900000000000002</v>
      </c>
      <c r="I60" s="12">
        <v>0</v>
      </c>
    </row>
    <row r="61" spans="2:9" ht="15" customHeight="1" x14ac:dyDescent="0.2">
      <c r="B61" t="s">
        <v>144</v>
      </c>
      <c r="C61" s="12">
        <v>12</v>
      </c>
      <c r="D61" s="8">
        <v>1.71</v>
      </c>
      <c r="E61" s="12">
        <v>6</v>
      </c>
      <c r="F61" s="8">
        <v>1.35</v>
      </c>
      <c r="G61" s="12">
        <v>5</v>
      </c>
      <c r="H61" s="8">
        <v>2.0699999999999998</v>
      </c>
      <c r="I61" s="12">
        <v>0</v>
      </c>
    </row>
    <row r="62" spans="2:9" ht="15" customHeight="1" x14ac:dyDescent="0.2">
      <c r="B62" t="s">
        <v>154</v>
      </c>
      <c r="C62" s="12">
        <v>11</v>
      </c>
      <c r="D62" s="8">
        <v>1.56</v>
      </c>
      <c r="E62" s="12">
        <v>9</v>
      </c>
      <c r="F62" s="8">
        <v>2.0299999999999998</v>
      </c>
      <c r="G62" s="12">
        <v>2</v>
      </c>
      <c r="H62" s="8">
        <v>0.83</v>
      </c>
      <c r="I62" s="12">
        <v>0</v>
      </c>
    </row>
    <row r="63" spans="2:9" ht="15" customHeight="1" x14ac:dyDescent="0.2">
      <c r="B63" t="s">
        <v>172</v>
      </c>
      <c r="C63" s="12">
        <v>11</v>
      </c>
      <c r="D63" s="8">
        <v>1.56</v>
      </c>
      <c r="E63" s="12">
        <v>0</v>
      </c>
      <c r="F63" s="8">
        <v>0</v>
      </c>
      <c r="G63" s="12">
        <v>11</v>
      </c>
      <c r="H63" s="8">
        <v>4.5599999999999996</v>
      </c>
      <c r="I63" s="12">
        <v>0</v>
      </c>
    </row>
    <row r="64" spans="2:9" ht="15" customHeight="1" x14ac:dyDescent="0.2">
      <c r="B64" t="s">
        <v>133</v>
      </c>
      <c r="C64" s="12">
        <v>10</v>
      </c>
      <c r="D64" s="8">
        <v>1.42</v>
      </c>
      <c r="E64" s="12">
        <v>9</v>
      </c>
      <c r="F64" s="8">
        <v>2.0299999999999998</v>
      </c>
      <c r="G64" s="12">
        <v>1</v>
      </c>
      <c r="H64" s="8">
        <v>0.41</v>
      </c>
      <c r="I64" s="12">
        <v>0</v>
      </c>
    </row>
    <row r="65" spans="2:9" ht="15" customHeight="1" x14ac:dyDescent="0.2">
      <c r="B65" t="s">
        <v>140</v>
      </c>
      <c r="C65" s="12">
        <v>10</v>
      </c>
      <c r="D65" s="8">
        <v>1.42</v>
      </c>
      <c r="E65" s="12">
        <v>9</v>
      </c>
      <c r="F65" s="8">
        <v>2.0299999999999998</v>
      </c>
      <c r="G65" s="12">
        <v>1</v>
      </c>
      <c r="H65" s="8">
        <v>0.41</v>
      </c>
      <c r="I65" s="12">
        <v>0</v>
      </c>
    </row>
    <row r="66" spans="2:9" ht="15" customHeight="1" x14ac:dyDescent="0.2">
      <c r="B66" t="s">
        <v>123</v>
      </c>
      <c r="C66" s="12">
        <v>9</v>
      </c>
      <c r="D66" s="8">
        <v>1.28</v>
      </c>
      <c r="E66" s="12">
        <v>4</v>
      </c>
      <c r="F66" s="8">
        <v>0.9</v>
      </c>
      <c r="G66" s="12">
        <v>5</v>
      </c>
      <c r="H66" s="8">
        <v>2.0699999999999998</v>
      </c>
      <c r="I66" s="12">
        <v>0</v>
      </c>
    </row>
    <row r="67" spans="2:9" ht="15" customHeight="1" x14ac:dyDescent="0.2">
      <c r="B67" t="s">
        <v>159</v>
      </c>
      <c r="C67" s="12">
        <v>9</v>
      </c>
      <c r="D67" s="8">
        <v>1.28</v>
      </c>
      <c r="E67" s="12">
        <v>8</v>
      </c>
      <c r="F67" s="8">
        <v>1.8</v>
      </c>
      <c r="G67" s="12">
        <v>1</v>
      </c>
      <c r="H67" s="8">
        <v>0.41</v>
      </c>
      <c r="I67" s="12">
        <v>0</v>
      </c>
    </row>
    <row r="68" spans="2:9" ht="15" customHeight="1" x14ac:dyDescent="0.2">
      <c r="B68" t="s">
        <v>176</v>
      </c>
      <c r="C68" s="12">
        <v>9</v>
      </c>
      <c r="D68" s="8">
        <v>1.28</v>
      </c>
      <c r="E68" s="12">
        <v>5</v>
      </c>
      <c r="F68" s="8">
        <v>1.1299999999999999</v>
      </c>
      <c r="G68" s="12">
        <v>4</v>
      </c>
      <c r="H68" s="8">
        <v>1.66</v>
      </c>
      <c r="I68" s="12">
        <v>0</v>
      </c>
    </row>
    <row r="69" spans="2:9" ht="15" customHeight="1" x14ac:dyDescent="0.2">
      <c r="B69" t="s">
        <v>131</v>
      </c>
      <c r="C69" s="12">
        <v>9</v>
      </c>
      <c r="D69" s="8">
        <v>1.28</v>
      </c>
      <c r="E69" s="12">
        <v>0</v>
      </c>
      <c r="F69" s="8">
        <v>0</v>
      </c>
      <c r="G69" s="12">
        <v>9</v>
      </c>
      <c r="H69" s="8">
        <v>3.73</v>
      </c>
      <c r="I69" s="12">
        <v>0</v>
      </c>
    </row>
    <row r="71" spans="2:9" ht="15" customHeight="1" x14ac:dyDescent="0.2">
      <c r="B71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EF6B-3B76-48A8-8E57-2A3CF720926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250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419</v>
      </c>
      <c r="D6" s="8">
        <v>22.48</v>
      </c>
      <c r="E6" s="12">
        <v>272</v>
      </c>
      <c r="F6" s="8">
        <v>23.09</v>
      </c>
      <c r="G6" s="12">
        <v>147</v>
      </c>
      <c r="H6" s="8">
        <v>22.44</v>
      </c>
      <c r="I6" s="12">
        <v>0</v>
      </c>
    </row>
    <row r="7" spans="2:9" ht="15" customHeight="1" x14ac:dyDescent="0.2">
      <c r="B7" t="s">
        <v>53</v>
      </c>
      <c r="C7" s="12">
        <v>278</v>
      </c>
      <c r="D7" s="8">
        <v>14.91</v>
      </c>
      <c r="E7" s="12">
        <v>143</v>
      </c>
      <c r="F7" s="8">
        <v>12.14</v>
      </c>
      <c r="G7" s="12">
        <v>134</v>
      </c>
      <c r="H7" s="8">
        <v>20.46</v>
      </c>
      <c r="I7" s="12">
        <v>0</v>
      </c>
    </row>
    <row r="8" spans="2:9" ht="15" customHeight="1" x14ac:dyDescent="0.2">
      <c r="B8" t="s">
        <v>54</v>
      </c>
      <c r="C8" s="12">
        <v>4</v>
      </c>
      <c r="D8" s="8">
        <v>0.21</v>
      </c>
      <c r="E8" s="12">
        <v>1</v>
      </c>
      <c r="F8" s="8">
        <v>0.08</v>
      </c>
      <c r="G8" s="12">
        <v>3</v>
      </c>
      <c r="H8" s="8">
        <v>0.46</v>
      </c>
      <c r="I8" s="12">
        <v>0</v>
      </c>
    </row>
    <row r="9" spans="2:9" ht="15" customHeight="1" x14ac:dyDescent="0.2">
      <c r="B9" t="s">
        <v>55</v>
      </c>
      <c r="C9" s="12">
        <v>11</v>
      </c>
      <c r="D9" s="8">
        <v>0.59</v>
      </c>
      <c r="E9" s="12">
        <v>1</v>
      </c>
      <c r="F9" s="8">
        <v>0.08</v>
      </c>
      <c r="G9" s="12">
        <v>10</v>
      </c>
      <c r="H9" s="8">
        <v>1.53</v>
      </c>
      <c r="I9" s="12">
        <v>0</v>
      </c>
    </row>
    <row r="10" spans="2:9" ht="15" customHeight="1" x14ac:dyDescent="0.2">
      <c r="B10" t="s">
        <v>56</v>
      </c>
      <c r="C10" s="12">
        <v>22</v>
      </c>
      <c r="D10" s="8">
        <v>1.18</v>
      </c>
      <c r="E10" s="12">
        <v>7</v>
      </c>
      <c r="F10" s="8">
        <v>0.59</v>
      </c>
      <c r="G10" s="12">
        <v>14</v>
      </c>
      <c r="H10" s="8">
        <v>2.14</v>
      </c>
      <c r="I10" s="12">
        <v>1</v>
      </c>
    </row>
    <row r="11" spans="2:9" ht="15" customHeight="1" x14ac:dyDescent="0.2">
      <c r="B11" t="s">
        <v>57</v>
      </c>
      <c r="C11" s="12">
        <v>429</v>
      </c>
      <c r="D11" s="8">
        <v>23.02</v>
      </c>
      <c r="E11" s="12">
        <v>274</v>
      </c>
      <c r="F11" s="8">
        <v>23.26</v>
      </c>
      <c r="G11" s="12">
        <v>154</v>
      </c>
      <c r="H11" s="8">
        <v>23.51</v>
      </c>
      <c r="I11" s="12">
        <v>1</v>
      </c>
    </row>
    <row r="12" spans="2:9" ht="15" customHeight="1" x14ac:dyDescent="0.2">
      <c r="B12" t="s">
        <v>58</v>
      </c>
      <c r="C12" s="12">
        <v>5</v>
      </c>
      <c r="D12" s="8">
        <v>0.27</v>
      </c>
      <c r="E12" s="12">
        <v>1</v>
      </c>
      <c r="F12" s="8">
        <v>0.08</v>
      </c>
      <c r="G12" s="12">
        <v>4</v>
      </c>
      <c r="H12" s="8">
        <v>0.61</v>
      </c>
      <c r="I12" s="12">
        <v>0</v>
      </c>
    </row>
    <row r="13" spans="2:9" ht="15" customHeight="1" x14ac:dyDescent="0.2">
      <c r="B13" t="s">
        <v>59</v>
      </c>
      <c r="C13" s="12">
        <v>76</v>
      </c>
      <c r="D13" s="8">
        <v>4.08</v>
      </c>
      <c r="E13" s="12">
        <v>28</v>
      </c>
      <c r="F13" s="8">
        <v>2.38</v>
      </c>
      <c r="G13" s="12">
        <v>48</v>
      </c>
      <c r="H13" s="8">
        <v>7.33</v>
      </c>
      <c r="I13" s="12">
        <v>0</v>
      </c>
    </row>
    <row r="14" spans="2:9" ht="15" customHeight="1" x14ac:dyDescent="0.2">
      <c r="B14" t="s">
        <v>60</v>
      </c>
      <c r="C14" s="12">
        <v>79</v>
      </c>
      <c r="D14" s="8">
        <v>4.24</v>
      </c>
      <c r="E14" s="12">
        <v>55</v>
      </c>
      <c r="F14" s="8">
        <v>4.67</v>
      </c>
      <c r="G14" s="12">
        <v>23</v>
      </c>
      <c r="H14" s="8">
        <v>3.51</v>
      </c>
      <c r="I14" s="12">
        <v>0</v>
      </c>
    </row>
    <row r="15" spans="2:9" ht="15" customHeight="1" x14ac:dyDescent="0.2">
      <c r="B15" t="s">
        <v>61</v>
      </c>
      <c r="C15" s="12">
        <v>134</v>
      </c>
      <c r="D15" s="8">
        <v>7.19</v>
      </c>
      <c r="E15" s="12">
        <v>117</v>
      </c>
      <c r="F15" s="8">
        <v>9.93</v>
      </c>
      <c r="G15" s="12">
        <v>16</v>
      </c>
      <c r="H15" s="8">
        <v>2.44</v>
      </c>
      <c r="I15" s="12">
        <v>0</v>
      </c>
    </row>
    <row r="16" spans="2:9" ht="15" customHeight="1" x14ac:dyDescent="0.2">
      <c r="B16" t="s">
        <v>62</v>
      </c>
      <c r="C16" s="12">
        <v>203</v>
      </c>
      <c r="D16" s="8">
        <v>10.89</v>
      </c>
      <c r="E16" s="12">
        <v>172</v>
      </c>
      <c r="F16" s="8">
        <v>14.6</v>
      </c>
      <c r="G16" s="12">
        <v>30</v>
      </c>
      <c r="H16" s="8">
        <v>4.58</v>
      </c>
      <c r="I16" s="12">
        <v>0</v>
      </c>
    </row>
    <row r="17" spans="2:9" ht="15" customHeight="1" x14ac:dyDescent="0.2">
      <c r="B17" t="s">
        <v>63</v>
      </c>
      <c r="C17" s="12">
        <v>76</v>
      </c>
      <c r="D17" s="8">
        <v>4.08</v>
      </c>
      <c r="E17" s="12">
        <v>50</v>
      </c>
      <c r="F17" s="8">
        <v>4.24</v>
      </c>
      <c r="G17" s="12">
        <v>13</v>
      </c>
      <c r="H17" s="8">
        <v>1.98</v>
      </c>
      <c r="I17" s="12">
        <v>0</v>
      </c>
    </row>
    <row r="18" spans="2:9" ht="15" customHeight="1" x14ac:dyDescent="0.2">
      <c r="B18" t="s">
        <v>64</v>
      </c>
      <c r="C18" s="12">
        <v>77</v>
      </c>
      <c r="D18" s="8">
        <v>4.13</v>
      </c>
      <c r="E18" s="12">
        <v>29</v>
      </c>
      <c r="F18" s="8">
        <v>2.46</v>
      </c>
      <c r="G18" s="12">
        <v>41</v>
      </c>
      <c r="H18" s="8">
        <v>6.26</v>
      </c>
      <c r="I18" s="12">
        <v>0</v>
      </c>
    </row>
    <row r="19" spans="2:9" ht="15" customHeight="1" x14ac:dyDescent="0.2">
      <c r="B19" t="s">
        <v>65</v>
      </c>
      <c r="C19" s="12">
        <v>51</v>
      </c>
      <c r="D19" s="8">
        <v>2.74</v>
      </c>
      <c r="E19" s="12">
        <v>28</v>
      </c>
      <c r="F19" s="8">
        <v>2.38</v>
      </c>
      <c r="G19" s="12">
        <v>18</v>
      </c>
      <c r="H19" s="8">
        <v>2.75</v>
      </c>
      <c r="I19" s="12">
        <v>2</v>
      </c>
    </row>
    <row r="20" spans="2:9" ht="15" customHeight="1" x14ac:dyDescent="0.2">
      <c r="B20" s="9" t="s">
        <v>215</v>
      </c>
      <c r="C20" s="12">
        <f>SUM(LTBL_28223[総数／事業所数])</f>
        <v>1864</v>
      </c>
      <c r="E20" s="12">
        <f>SUBTOTAL(109,LTBL_28223[個人／事業所数])</f>
        <v>1178</v>
      </c>
      <c r="G20" s="12">
        <f>SUBTOTAL(109,LTBL_28223[法人／事業所数])</f>
        <v>655</v>
      </c>
      <c r="I20" s="12">
        <f>SUBTOTAL(109,LTBL_28223[法人以外の団体／事業所数])</f>
        <v>4</v>
      </c>
    </row>
    <row r="21" spans="2:9" ht="15" customHeight="1" x14ac:dyDescent="0.2">
      <c r="E21" s="11">
        <f>LTBL_28223[[#Totals],[個人／事業所数]]/LTBL_28223[[#Totals],[総数／事業所数]]</f>
        <v>0.63197424892703857</v>
      </c>
      <c r="G21" s="11">
        <f>LTBL_28223[[#Totals],[法人／事業所数]]/LTBL_28223[[#Totals],[総数／事業所数]]</f>
        <v>0.35139484978540775</v>
      </c>
      <c r="I21" s="11">
        <f>LTBL_28223[[#Totals],[法人以外の団体／事業所数]]/LTBL_28223[[#Totals],[総数／事業所数]]</f>
        <v>2.1459227467811159E-3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204</v>
      </c>
      <c r="D24" s="8">
        <v>10.94</v>
      </c>
      <c r="E24" s="12">
        <v>110</v>
      </c>
      <c r="F24" s="8">
        <v>9.34</v>
      </c>
      <c r="G24" s="12">
        <v>94</v>
      </c>
      <c r="H24" s="8">
        <v>14.35</v>
      </c>
      <c r="I24" s="12">
        <v>0</v>
      </c>
    </row>
    <row r="25" spans="2:9" ht="15" customHeight="1" x14ac:dyDescent="0.2">
      <c r="B25" t="s">
        <v>89</v>
      </c>
      <c r="C25" s="12">
        <v>172</v>
      </c>
      <c r="D25" s="8">
        <v>9.23</v>
      </c>
      <c r="E25" s="12">
        <v>156</v>
      </c>
      <c r="F25" s="8">
        <v>13.24</v>
      </c>
      <c r="G25" s="12">
        <v>16</v>
      </c>
      <c r="H25" s="8">
        <v>2.44</v>
      </c>
      <c r="I25" s="12">
        <v>0</v>
      </c>
    </row>
    <row r="26" spans="2:9" ht="15" customHeight="1" x14ac:dyDescent="0.2">
      <c r="B26" t="s">
        <v>75</v>
      </c>
      <c r="C26" s="12">
        <v>141</v>
      </c>
      <c r="D26" s="8">
        <v>7.56</v>
      </c>
      <c r="E26" s="12">
        <v>115</v>
      </c>
      <c r="F26" s="8">
        <v>9.76</v>
      </c>
      <c r="G26" s="12">
        <v>26</v>
      </c>
      <c r="H26" s="8">
        <v>3.97</v>
      </c>
      <c r="I26" s="12">
        <v>0</v>
      </c>
    </row>
    <row r="27" spans="2:9" ht="15" customHeight="1" x14ac:dyDescent="0.2">
      <c r="B27" t="s">
        <v>83</v>
      </c>
      <c r="C27" s="12">
        <v>127</v>
      </c>
      <c r="D27" s="8">
        <v>6.81</v>
      </c>
      <c r="E27" s="12">
        <v>71</v>
      </c>
      <c r="F27" s="8">
        <v>6.03</v>
      </c>
      <c r="G27" s="12">
        <v>56</v>
      </c>
      <c r="H27" s="8">
        <v>8.5500000000000007</v>
      </c>
      <c r="I27" s="12">
        <v>0</v>
      </c>
    </row>
    <row r="28" spans="2:9" ht="15" customHeight="1" x14ac:dyDescent="0.2">
      <c r="B28" t="s">
        <v>88</v>
      </c>
      <c r="C28" s="12">
        <v>110</v>
      </c>
      <c r="D28" s="8">
        <v>5.9</v>
      </c>
      <c r="E28" s="12">
        <v>99</v>
      </c>
      <c r="F28" s="8">
        <v>8.4</v>
      </c>
      <c r="G28" s="12">
        <v>11</v>
      </c>
      <c r="H28" s="8">
        <v>1.68</v>
      </c>
      <c r="I28" s="12">
        <v>0</v>
      </c>
    </row>
    <row r="29" spans="2:9" ht="15" customHeight="1" x14ac:dyDescent="0.2">
      <c r="B29" t="s">
        <v>81</v>
      </c>
      <c r="C29" s="12">
        <v>79</v>
      </c>
      <c r="D29" s="8">
        <v>4.24</v>
      </c>
      <c r="E29" s="12">
        <v>67</v>
      </c>
      <c r="F29" s="8">
        <v>5.69</v>
      </c>
      <c r="G29" s="12">
        <v>12</v>
      </c>
      <c r="H29" s="8">
        <v>1.83</v>
      </c>
      <c r="I29" s="12">
        <v>0</v>
      </c>
    </row>
    <row r="30" spans="2:9" ht="15" customHeight="1" x14ac:dyDescent="0.2">
      <c r="B30" t="s">
        <v>91</v>
      </c>
      <c r="C30" s="12">
        <v>76</v>
      </c>
      <c r="D30" s="8">
        <v>4.08</v>
      </c>
      <c r="E30" s="12">
        <v>50</v>
      </c>
      <c r="F30" s="8">
        <v>4.24</v>
      </c>
      <c r="G30" s="12">
        <v>13</v>
      </c>
      <c r="H30" s="8">
        <v>1.98</v>
      </c>
      <c r="I30" s="12">
        <v>0</v>
      </c>
    </row>
    <row r="31" spans="2:9" ht="15" customHeight="1" x14ac:dyDescent="0.2">
      <c r="B31" t="s">
        <v>76</v>
      </c>
      <c r="C31" s="12">
        <v>74</v>
      </c>
      <c r="D31" s="8">
        <v>3.97</v>
      </c>
      <c r="E31" s="12">
        <v>47</v>
      </c>
      <c r="F31" s="8">
        <v>3.99</v>
      </c>
      <c r="G31" s="12">
        <v>27</v>
      </c>
      <c r="H31" s="8">
        <v>4.12</v>
      </c>
      <c r="I31" s="12">
        <v>0</v>
      </c>
    </row>
    <row r="32" spans="2:9" ht="15" customHeight="1" x14ac:dyDescent="0.2">
      <c r="B32" t="s">
        <v>82</v>
      </c>
      <c r="C32" s="12">
        <v>72</v>
      </c>
      <c r="D32" s="8">
        <v>3.86</v>
      </c>
      <c r="E32" s="12">
        <v>53</v>
      </c>
      <c r="F32" s="8">
        <v>4.5</v>
      </c>
      <c r="G32" s="12">
        <v>19</v>
      </c>
      <c r="H32" s="8">
        <v>2.9</v>
      </c>
      <c r="I32" s="12">
        <v>0</v>
      </c>
    </row>
    <row r="33" spans="2:9" ht="15" customHeight="1" x14ac:dyDescent="0.2">
      <c r="B33" t="s">
        <v>85</v>
      </c>
      <c r="C33" s="12">
        <v>60</v>
      </c>
      <c r="D33" s="8">
        <v>3.22</v>
      </c>
      <c r="E33" s="12">
        <v>24</v>
      </c>
      <c r="F33" s="8">
        <v>2.04</v>
      </c>
      <c r="G33" s="12">
        <v>36</v>
      </c>
      <c r="H33" s="8">
        <v>5.5</v>
      </c>
      <c r="I33" s="12">
        <v>0</v>
      </c>
    </row>
    <row r="34" spans="2:9" ht="15" customHeight="1" x14ac:dyDescent="0.2">
      <c r="B34" t="s">
        <v>80</v>
      </c>
      <c r="C34" s="12">
        <v>53</v>
      </c>
      <c r="D34" s="8">
        <v>2.84</v>
      </c>
      <c r="E34" s="12">
        <v>35</v>
      </c>
      <c r="F34" s="8">
        <v>2.97</v>
      </c>
      <c r="G34" s="12">
        <v>18</v>
      </c>
      <c r="H34" s="8">
        <v>2.75</v>
      </c>
      <c r="I34" s="12">
        <v>0</v>
      </c>
    </row>
    <row r="35" spans="2:9" ht="15" customHeight="1" x14ac:dyDescent="0.2">
      <c r="B35" t="s">
        <v>86</v>
      </c>
      <c r="C35" s="12">
        <v>47</v>
      </c>
      <c r="D35" s="8">
        <v>2.52</v>
      </c>
      <c r="E35" s="12">
        <v>39</v>
      </c>
      <c r="F35" s="8">
        <v>3.31</v>
      </c>
      <c r="G35" s="12">
        <v>8</v>
      </c>
      <c r="H35" s="8">
        <v>1.22</v>
      </c>
      <c r="I35" s="12">
        <v>0</v>
      </c>
    </row>
    <row r="36" spans="2:9" ht="15" customHeight="1" x14ac:dyDescent="0.2">
      <c r="B36" t="s">
        <v>93</v>
      </c>
      <c r="C36" s="12">
        <v>44</v>
      </c>
      <c r="D36" s="8">
        <v>2.36</v>
      </c>
      <c r="E36" s="12">
        <v>0</v>
      </c>
      <c r="F36" s="8">
        <v>0</v>
      </c>
      <c r="G36" s="12">
        <v>37</v>
      </c>
      <c r="H36" s="8">
        <v>5.65</v>
      </c>
      <c r="I36" s="12">
        <v>0</v>
      </c>
    </row>
    <row r="37" spans="2:9" ht="15" customHeight="1" x14ac:dyDescent="0.2">
      <c r="B37" t="s">
        <v>110</v>
      </c>
      <c r="C37" s="12">
        <v>42</v>
      </c>
      <c r="D37" s="8">
        <v>2.25</v>
      </c>
      <c r="E37" s="12">
        <v>27</v>
      </c>
      <c r="F37" s="8">
        <v>2.29</v>
      </c>
      <c r="G37" s="12">
        <v>15</v>
      </c>
      <c r="H37" s="8">
        <v>2.29</v>
      </c>
      <c r="I37" s="12">
        <v>0</v>
      </c>
    </row>
    <row r="38" spans="2:9" ht="15" customHeight="1" x14ac:dyDescent="0.2">
      <c r="B38" t="s">
        <v>92</v>
      </c>
      <c r="C38" s="12">
        <v>33</v>
      </c>
      <c r="D38" s="8">
        <v>1.77</v>
      </c>
      <c r="E38" s="12">
        <v>29</v>
      </c>
      <c r="F38" s="8">
        <v>2.46</v>
      </c>
      <c r="G38" s="12">
        <v>4</v>
      </c>
      <c r="H38" s="8">
        <v>0.61</v>
      </c>
      <c r="I38" s="12">
        <v>0</v>
      </c>
    </row>
    <row r="39" spans="2:9" ht="15" customHeight="1" x14ac:dyDescent="0.2">
      <c r="B39" t="s">
        <v>111</v>
      </c>
      <c r="C39" s="12">
        <v>30</v>
      </c>
      <c r="D39" s="8">
        <v>1.61</v>
      </c>
      <c r="E39" s="12">
        <v>24</v>
      </c>
      <c r="F39" s="8">
        <v>2.04</v>
      </c>
      <c r="G39" s="12">
        <v>6</v>
      </c>
      <c r="H39" s="8">
        <v>0.92</v>
      </c>
      <c r="I39" s="12">
        <v>0</v>
      </c>
    </row>
    <row r="40" spans="2:9" ht="15" customHeight="1" x14ac:dyDescent="0.2">
      <c r="B40" t="s">
        <v>87</v>
      </c>
      <c r="C40" s="12">
        <v>30</v>
      </c>
      <c r="D40" s="8">
        <v>1.61</v>
      </c>
      <c r="E40" s="12">
        <v>16</v>
      </c>
      <c r="F40" s="8">
        <v>1.36</v>
      </c>
      <c r="G40" s="12">
        <v>14</v>
      </c>
      <c r="H40" s="8">
        <v>2.14</v>
      </c>
      <c r="I40" s="12">
        <v>0</v>
      </c>
    </row>
    <row r="41" spans="2:9" ht="15" customHeight="1" x14ac:dyDescent="0.2">
      <c r="B41" t="s">
        <v>90</v>
      </c>
      <c r="C41" s="12">
        <v>26</v>
      </c>
      <c r="D41" s="8">
        <v>1.39</v>
      </c>
      <c r="E41" s="12">
        <v>12</v>
      </c>
      <c r="F41" s="8">
        <v>1.02</v>
      </c>
      <c r="G41" s="12">
        <v>14</v>
      </c>
      <c r="H41" s="8">
        <v>2.14</v>
      </c>
      <c r="I41" s="12">
        <v>0</v>
      </c>
    </row>
    <row r="42" spans="2:9" ht="15" customHeight="1" x14ac:dyDescent="0.2">
      <c r="B42" t="s">
        <v>97</v>
      </c>
      <c r="C42" s="12">
        <v>25</v>
      </c>
      <c r="D42" s="8">
        <v>1.34</v>
      </c>
      <c r="E42" s="12">
        <v>14</v>
      </c>
      <c r="F42" s="8">
        <v>1.19</v>
      </c>
      <c r="G42" s="12">
        <v>11</v>
      </c>
      <c r="H42" s="8">
        <v>1.68</v>
      </c>
      <c r="I42" s="12">
        <v>0</v>
      </c>
    </row>
    <row r="43" spans="2:9" ht="15" customHeight="1" x14ac:dyDescent="0.2">
      <c r="B43" t="s">
        <v>117</v>
      </c>
      <c r="C43" s="12">
        <v>23</v>
      </c>
      <c r="D43" s="8">
        <v>1.23</v>
      </c>
      <c r="E43" s="12">
        <v>16</v>
      </c>
      <c r="F43" s="8">
        <v>1.36</v>
      </c>
      <c r="G43" s="12">
        <v>7</v>
      </c>
      <c r="H43" s="8">
        <v>1.07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91</v>
      </c>
      <c r="D47" s="8">
        <v>4.88</v>
      </c>
      <c r="E47" s="12">
        <v>86</v>
      </c>
      <c r="F47" s="8">
        <v>7.3</v>
      </c>
      <c r="G47" s="12">
        <v>5</v>
      </c>
      <c r="H47" s="8">
        <v>0.76</v>
      </c>
      <c r="I47" s="12">
        <v>0</v>
      </c>
    </row>
    <row r="48" spans="2:9" ht="15" customHeight="1" x14ac:dyDescent="0.2">
      <c r="B48" t="s">
        <v>122</v>
      </c>
      <c r="C48" s="12">
        <v>88</v>
      </c>
      <c r="D48" s="8">
        <v>4.72</v>
      </c>
      <c r="E48" s="12">
        <v>36</v>
      </c>
      <c r="F48" s="8">
        <v>3.06</v>
      </c>
      <c r="G48" s="12">
        <v>52</v>
      </c>
      <c r="H48" s="8">
        <v>7.94</v>
      </c>
      <c r="I48" s="12">
        <v>0</v>
      </c>
    </row>
    <row r="49" spans="2:9" ht="15" customHeight="1" x14ac:dyDescent="0.2">
      <c r="B49" t="s">
        <v>137</v>
      </c>
      <c r="C49" s="12">
        <v>58</v>
      </c>
      <c r="D49" s="8">
        <v>3.11</v>
      </c>
      <c r="E49" s="12">
        <v>55</v>
      </c>
      <c r="F49" s="8">
        <v>4.67</v>
      </c>
      <c r="G49" s="12">
        <v>3</v>
      </c>
      <c r="H49" s="8">
        <v>0.46</v>
      </c>
      <c r="I49" s="12">
        <v>0</v>
      </c>
    </row>
    <row r="50" spans="2:9" ht="15" customHeight="1" x14ac:dyDescent="0.2">
      <c r="B50" t="s">
        <v>169</v>
      </c>
      <c r="C50" s="12">
        <v>51</v>
      </c>
      <c r="D50" s="8">
        <v>2.74</v>
      </c>
      <c r="E50" s="12">
        <v>40</v>
      </c>
      <c r="F50" s="8">
        <v>3.4</v>
      </c>
      <c r="G50" s="12">
        <v>11</v>
      </c>
      <c r="H50" s="8">
        <v>1.68</v>
      </c>
      <c r="I50" s="12">
        <v>0</v>
      </c>
    </row>
    <row r="51" spans="2:9" ht="15" customHeight="1" x14ac:dyDescent="0.2">
      <c r="B51" t="s">
        <v>127</v>
      </c>
      <c r="C51" s="12">
        <v>48</v>
      </c>
      <c r="D51" s="8">
        <v>2.58</v>
      </c>
      <c r="E51" s="12">
        <v>30</v>
      </c>
      <c r="F51" s="8">
        <v>2.5499999999999998</v>
      </c>
      <c r="G51" s="12">
        <v>18</v>
      </c>
      <c r="H51" s="8">
        <v>2.75</v>
      </c>
      <c r="I51" s="12">
        <v>0</v>
      </c>
    </row>
    <row r="52" spans="2:9" ht="15" customHeight="1" x14ac:dyDescent="0.2">
      <c r="B52" t="s">
        <v>123</v>
      </c>
      <c r="C52" s="12">
        <v>43</v>
      </c>
      <c r="D52" s="8">
        <v>2.31</v>
      </c>
      <c r="E52" s="12">
        <v>18</v>
      </c>
      <c r="F52" s="8">
        <v>1.53</v>
      </c>
      <c r="G52" s="12">
        <v>25</v>
      </c>
      <c r="H52" s="8">
        <v>3.82</v>
      </c>
      <c r="I52" s="12">
        <v>0</v>
      </c>
    </row>
    <row r="53" spans="2:9" ht="15" customHeight="1" x14ac:dyDescent="0.2">
      <c r="B53" t="s">
        <v>124</v>
      </c>
      <c r="C53" s="12">
        <v>38</v>
      </c>
      <c r="D53" s="8">
        <v>2.04</v>
      </c>
      <c r="E53" s="12">
        <v>26</v>
      </c>
      <c r="F53" s="8">
        <v>2.21</v>
      </c>
      <c r="G53" s="12">
        <v>12</v>
      </c>
      <c r="H53" s="8">
        <v>1.83</v>
      </c>
      <c r="I53" s="12">
        <v>0</v>
      </c>
    </row>
    <row r="54" spans="2:9" ht="15" customHeight="1" x14ac:dyDescent="0.2">
      <c r="B54" t="s">
        <v>133</v>
      </c>
      <c r="C54" s="12">
        <v>35</v>
      </c>
      <c r="D54" s="8">
        <v>1.88</v>
      </c>
      <c r="E54" s="12">
        <v>25</v>
      </c>
      <c r="F54" s="8">
        <v>2.12</v>
      </c>
      <c r="G54" s="12">
        <v>10</v>
      </c>
      <c r="H54" s="8">
        <v>1.53</v>
      </c>
      <c r="I54" s="12">
        <v>0</v>
      </c>
    </row>
    <row r="55" spans="2:9" ht="15" customHeight="1" x14ac:dyDescent="0.2">
      <c r="B55" t="s">
        <v>140</v>
      </c>
      <c r="C55" s="12">
        <v>35</v>
      </c>
      <c r="D55" s="8">
        <v>1.88</v>
      </c>
      <c r="E55" s="12">
        <v>30</v>
      </c>
      <c r="F55" s="8">
        <v>2.5499999999999998</v>
      </c>
      <c r="G55" s="12">
        <v>5</v>
      </c>
      <c r="H55" s="8">
        <v>0.76</v>
      </c>
      <c r="I55" s="12">
        <v>0</v>
      </c>
    </row>
    <row r="56" spans="2:9" ht="15" customHeight="1" x14ac:dyDescent="0.2">
      <c r="B56" t="s">
        <v>129</v>
      </c>
      <c r="C56" s="12">
        <v>33</v>
      </c>
      <c r="D56" s="8">
        <v>1.77</v>
      </c>
      <c r="E56" s="12">
        <v>25</v>
      </c>
      <c r="F56" s="8">
        <v>2.12</v>
      </c>
      <c r="G56" s="12">
        <v>8</v>
      </c>
      <c r="H56" s="8">
        <v>1.22</v>
      </c>
      <c r="I56" s="12">
        <v>0</v>
      </c>
    </row>
    <row r="57" spans="2:9" ht="15" customHeight="1" x14ac:dyDescent="0.2">
      <c r="B57" t="s">
        <v>132</v>
      </c>
      <c r="C57" s="12">
        <v>33</v>
      </c>
      <c r="D57" s="8">
        <v>1.77</v>
      </c>
      <c r="E57" s="12">
        <v>19</v>
      </c>
      <c r="F57" s="8">
        <v>1.61</v>
      </c>
      <c r="G57" s="12">
        <v>14</v>
      </c>
      <c r="H57" s="8">
        <v>2.14</v>
      </c>
      <c r="I57" s="12">
        <v>0</v>
      </c>
    </row>
    <row r="58" spans="2:9" ht="15" customHeight="1" x14ac:dyDescent="0.2">
      <c r="B58" t="s">
        <v>186</v>
      </c>
      <c r="C58" s="12">
        <v>32</v>
      </c>
      <c r="D58" s="8">
        <v>1.72</v>
      </c>
      <c r="E58" s="12">
        <v>22</v>
      </c>
      <c r="F58" s="8">
        <v>1.87</v>
      </c>
      <c r="G58" s="12">
        <v>10</v>
      </c>
      <c r="H58" s="8">
        <v>1.53</v>
      </c>
      <c r="I58" s="12">
        <v>0</v>
      </c>
    </row>
    <row r="59" spans="2:9" ht="15" customHeight="1" x14ac:dyDescent="0.2">
      <c r="B59" t="s">
        <v>128</v>
      </c>
      <c r="C59" s="12">
        <v>32</v>
      </c>
      <c r="D59" s="8">
        <v>1.72</v>
      </c>
      <c r="E59" s="12">
        <v>17</v>
      </c>
      <c r="F59" s="8">
        <v>1.44</v>
      </c>
      <c r="G59" s="12">
        <v>15</v>
      </c>
      <c r="H59" s="8">
        <v>2.29</v>
      </c>
      <c r="I59" s="12">
        <v>0</v>
      </c>
    </row>
    <row r="60" spans="2:9" ht="15" customHeight="1" x14ac:dyDescent="0.2">
      <c r="B60" t="s">
        <v>159</v>
      </c>
      <c r="C60" s="12">
        <v>30</v>
      </c>
      <c r="D60" s="8">
        <v>1.61</v>
      </c>
      <c r="E60" s="12">
        <v>21</v>
      </c>
      <c r="F60" s="8">
        <v>1.78</v>
      </c>
      <c r="G60" s="12">
        <v>9</v>
      </c>
      <c r="H60" s="8">
        <v>1.37</v>
      </c>
      <c r="I60" s="12">
        <v>0</v>
      </c>
    </row>
    <row r="61" spans="2:9" ht="15" customHeight="1" x14ac:dyDescent="0.2">
      <c r="B61" t="s">
        <v>151</v>
      </c>
      <c r="C61" s="12">
        <v>30</v>
      </c>
      <c r="D61" s="8">
        <v>1.61</v>
      </c>
      <c r="E61" s="12">
        <v>26</v>
      </c>
      <c r="F61" s="8">
        <v>2.21</v>
      </c>
      <c r="G61" s="12">
        <v>4</v>
      </c>
      <c r="H61" s="8">
        <v>0.61</v>
      </c>
      <c r="I61" s="12">
        <v>0</v>
      </c>
    </row>
    <row r="62" spans="2:9" ht="15" customHeight="1" x14ac:dyDescent="0.2">
      <c r="B62" t="s">
        <v>125</v>
      </c>
      <c r="C62" s="12">
        <v>28</v>
      </c>
      <c r="D62" s="8">
        <v>1.5</v>
      </c>
      <c r="E62" s="12">
        <v>18</v>
      </c>
      <c r="F62" s="8">
        <v>1.53</v>
      </c>
      <c r="G62" s="12">
        <v>10</v>
      </c>
      <c r="H62" s="8">
        <v>1.53</v>
      </c>
      <c r="I62" s="12">
        <v>0</v>
      </c>
    </row>
    <row r="63" spans="2:9" ht="15" customHeight="1" x14ac:dyDescent="0.2">
      <c r="B63" t="s">
        <v>136</v>
      </c>
      <c r="C63" s="12">
        <v>28</v>
      </c>
      <c r="D63" s="8">
        <v>1.5</v>
      </c>
      <c r="E63" s="12">
        <v>28</v>
      </c>
      <c r="F63" s="8">
        <v>2.38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190</v>
      </c>
      <c r="C64" s="12">
        <v>25</v>
      </c>
      <c r="D64" s="8">
        <v>1.34</v>
      </c>
      <c r="E64" s="12">
        <v>24</v>
      </c>
      <c r="F64" s="8">
        <v>2.04</v>
      </c>
      <c r="G64" s="12">
        <v>1</v>
      </c>
      <c r="H64" s="8">
        <v>0.15</v>
      </c>
      <c r="I64" s="12">
        <v>0</v>
      </c>
    </row>
    <row r="65" spans="2:9" ht="15" customHeight="1" x14ac:dyDescent="0.2">
      <c r="B65" t="s">
        <v>139</v>
      </c>
      <c r="C65" s="12">
        <v>24</v>
      </c>
      <c r="D65" s="8">
        <v>1.29</v>
      </c>
      <c r="E65" s="12">
        <v>20</v>
      </c>
      <c r="F65" s="8">
        <v>1.7</v>
      </c>
      <c r="G65" s="12">
        <v>4</v>
      </c>
      <c r="H65" s="8">
        <v>0.61</v>
      </c>
      <c r="I65" s="12">
        <v>0</v>
      </c>
    </row>
    <row r="66" spans="2:9" ht="15" customHeight="1" x14ac:dyDescent="0.2">
      <c r="B66" t="s">
        <v>172</v>
      </c>
      <c r="C66" s="12">
        <v>23</v>
      </c>
      <c r="D66" s="8">
        <v>1.23</v>
      </c>
      <c r="E66" s="12">
        <v>8</v>
      </c>
      <c r="F66" s="8">
        <v>0.68</v>
      </c>
      <c r="G66" s="12">
        <v>15</v>
      </c>
      <c r="H66" s="8">
        <v>2.29</v>
      </c>
      <c r="I66" s="12">
        <v>0</v>
      </c>
    </row>
    <row r="67" spans="2:9" ht="15" customHeight="1" x14ac:dyDescent="0.2">
      <c r="B67" t="s">
        <v>144</v>
      </c>
      <c r="C67" s="12">
        <v>23</v>
      </c>
      <c r="D67" s="8">
        <v>1.23</v>
      </c>
      <c r="E67" s="12">
        <v>10</v>
      </c>
      <c r="F67" s="8">
        <v>0.85</v>
      </c>
      <c r="G67" s="12">
        <v>13</v>
      </c>
      <c r="H67" s="8">
        <v>1.98</v>
      </c>
      <c r="I67" s="12">
        <v>0</v>
      </c>
    </row>
    <row r="69" spans="2:9" ht="15" customHeight="1" x14ac:dyDescent="0.2">
      <c r="B69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BD97D-84B4-4F8D-AEBF-FA3C0539421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251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171</v>
      </c>
      <c r="D6" s="8">
        <v>10.87</v>
      </c>
      <c r="E6" s="12">
        <v>98</v>
      </c>
      <c r="F6" s="8">
        <v>9.0299999999999994</v>
      </c>
      <c r="G6" s="12">
        <v>73</v>
      </c>
      <c r="H6" s="8">
        <v>15.5</v>
      </c>
      <c r="I6" s="12">
        <v>0</v>
      </c>
    </row>
    <row r="7" spans="2:9" ht="15" customHeight="1" x14ac:dyDescent="0.2">
      <c r="B7" t="s">
        <v>53</v>
      </c>
      <c r="C7" s="12">
        <v>222</v>
      </c>
      <c r="D7" s="8">
        <v>14.11</v>
      </c>
      <c r="E7" s="12">
        <v>132</v>
      </c>
      <c r="F7" s="8">
        <v>12.17</v>
      </c>
      <c r="G7" s="12">
        <v>90</v>
      </c>
      <c r="H7" s="8">
        <v>19.11</v>
      </c>
      <c r="I7" s="12">
        <v>0</v>
      </c>
    </row>
    <row r="8" spans="2:9" ht="15" customHeight="1" x14ac:dyDescent="0.2">
      <c r="B8" t="s">
        <v>54</v>
      </c>
      <c r="C8" s="12">
        <v>6</v>
      </c>
      <c r="D8" s="8">
        <v>0.38</v>
      </c>
      <c r="E8" s="12">
        <v>0</v>
      </c>
      <c r="F8" s="8">
        <v>0</v>
      </c>
      <c r="G8" s="12">
        <v>6</v>
      </c>
      <c r="H8" s="8">
        <v>1.27</v>
      </c>
      <c r="I8" s="12">
        <v>0</v>
      </c>
    </row>
    <row r="9" spans="2:9" ht="15" customHeight="1" x14ac:dyDescent="0.2">
      <c r="B9" t="s">
        <v>55</v>
      </c>
      <c r="C9" s="12">
        <v>9</v>
      </c>
      <c r="D9" s="8">
        <v>0.56999999999999995</v>
      </c>
      <c r="E9" s="12">
        <v>1</v>
      </c>
      <c r="F9" s="8">
        <v>0.09</v>
      </c>
      <c r="G9" s="12">
        <v>8</v>
      </c>
      <c r="H9" s="8">
        <v>1.7</v>
      </c>
      <c r="I9" s="12">
        <v>0</v>
      </c>
    </row>
    <row r="10" spans="2:9" ht="15" customHeight="1" x14ac:dyDescent="0.2">
      <c r="B10" t="s">
        <v>56</v>
      </c>
      <c r="C10" s="12">
        <v>20</v>
      </c>
      <c r="D10" s="8">
        <v>1.27</v>
      </c>
      <c r="E10" s="12">
        <v>3</v>
      </c>
      <c r="F10" s="8">
        <v>0.28000000000000003</v>
      </c>
      <c r="G10" s="12">
        <v>17</v>
      </c>
      <c r="H10" s="8">
        <v>3.61</v>
      </c>
      <c r="I10" s="12">
        <v>0</v>
      </c>
    </row>
    <row r="11" spans="2:9" ht="15" customHeight="1" x14ac:dyDescent="0.2">
      <c r="B11" t="s">
        <v>57</v>
      </c>
      <c r="C11" s="12">
        <v>452</v>
      </c>
      <c r="D11" s="8">
        <v>28.73</v>
      </c>
      <c r="E11" s="12">
        <v>294</v>
      </c>
      <c r="F11" s="8">
        <v>27.1</v>
      </c>
      <c r="G11" s="12">
        <v>158</v>
      </c>
      <c r="H11" s="8">
        <v>33.549999999999997</v>
      </c>
      <c r="I11" s="12">
        <v>0</v>
      </c>
    </row>
    <row r="12" spans="2:9" ht="15" customHeight="1" x14ac:dyDescent="0.2">
      <c r="B12" t="s">
        <v>58</v>
      </c>
      <c r="C12" s="12">
        <v>5</v>
      </c>
      <c r="D12" s="8">
        <v>0.32</v>
      </c>
      <c r="E12" s="12">
        <v>1</v>
      </c>
      <c r="F12" s="8">
        <v>0.09</v>
      </c>
      <c r="G12" s="12">
        <v>4</v>
      </c>
      <c r="H12" s="8">
        <v>0.85</v>
      </c>
      <c r="I12" s="12">
        <v>0</v>
      </c>
    </row>
    <row r="13" spans="2:9" ht="15" customHeight="1" x14ac:dyDescent="0.2">
      <c r="B13" t="s">
        <v>59</v>
      </c>
      <c r="C13" s="12">
        <v>121</v>
      </c>
      <c r="D13" s="8">
        <v>7.69</v>
      </c>
      <c r="E13" s="12">
        <v>76</v>
      </c>
      <c r="F13" s="8">
        <v>7</v>
      </c>
      <c r="G13" s="12">
        <v>45</v>
      </c>
      <c r="H13" s="8">
        <v>9.5500000000000007</v>
      </c>
      <c r="I13" s="12">
        <v>0</v>
      </c>
    </row>
    <row r="14" spans="2:9" ht="15" customHeight="1" x14ac:dyDescent="0.2">
      <c r="B14" t="s">
        <v>60</v>
      </c>
      <c r="C14" s="12">
        <v>41</v>
      </c>
      <c r="D14" s="8">
        <v>2.61</v>
      </c>
      <c r="E14" s="12">
        <v>30</v>
      </c>
      <c r="F14" s="8">
        <v>2.76</v>
      </c>
      <c r="G14" s="12">
        <v>11</v>
      </c>
      <c r="H14" s="8">
        <v>2.34</v>
      </c>
      <c r="I14" s="12">
        <v>0</v>
      </c>
    </row>
    <row r="15" spans="2:9" ht="15" customHeight="1" x14ac:dyDescent="0.2">
      <c r="B15" t="s">
        <v>61</v>
      </c>
      <c r="C15" s="12">
        <v>188</v>
      </c>
      <c r="D15" s="8">
        <v>11.95</v>
      </c>
      <c r="E15" s="12">
        <v>175</v>
      </c>
      <c r="F15" s="8">
        <v>16.13</v>
      </c>
      <c r="G15" s="12">
        <v>11</v>
      </c>
      <c r="H15" s="8">
        <v>2.34</v>
      </c>
      <c r="I15" s="12">
        <v>1</v>
      </c>
    </row>
    <row r="16" spans="2:9" ht="15" customHeight="1" x14ac:dyDescent="0.2">
      <c r="B16" t="s">
        <v>62</v>
      </c>
      <c r="C16" s="12">
        <v>169</v>
      </c>
      <c r="D16" s="8">
        <v>10.74</v>
      </c>
      <c r="E16" s="12">
        <v>149</v>
      </c>
      <c r="F16" s="8">
        <v>13.73</v>
      </c>
      <c r="G16" s="12">
        <v>15</v>
      </c>
      <c r="H16" s="8">
        <v>3.18</v>
      </c>
      <c r="I16" s="12">
        <v>0</v>
      </c>
    </row>
    <row r="17" spans="2:9" ht="15" customHeight="1" x14ac:dyDescent="0.2">
      <c r="B17" t="s">
        <v>63</v>
      </c>
      <c r="C17" s="12">
        <v>55</v>
      </c>
      <c r="D17" s="8">
        <v>3.5</v>
      </c>
      <c r="E17" s="12">
        <v>43</v>
      </c>
      <c r="F17" s="8">
        <v>3.96</v>
      </c>
      <c r="G17" s="12">
        <v>5</v>
      </c>
      <c r="H17" s="8">
        <v>1.06</v>
      </c>
      <c r="I17" s="12">
        <v>0</v>
      </c>
    </row>
    <row r="18" spans="2:9" ht="15" customHeight="1" x14ac:dyDescent="0.2">
      <c r="B18" t="s">
        <v>64</v>
      </c>
      <c r="C18" s="12">
        <v>58</v>
      </c>
      <c r="D18" s="8">
        <v>3.69</v>
      </c>
      <c r="E18" s="12">
        <v>40</v>
      </c>
      <c r="F18" s="8">
        <v>3.69</v>
      </c>
      <c r="G18" s="12">
        <v>16</v>
      </c>
      <c r="H18" s="8">
        <v>3.4</v>
      </c>
      <c r="I18" s="12">
        <v>0</v>
      </c>
    </row>
    <row r="19" spans="2:9" ht="15" customHeight="1" x14ac:dyDescent="0.2">
      <c r="B19" t="s">
        <v>65</v>
      </c>
      <c r="C19" s="12">
        <v>56</v>
      </c>
      <c r="D19" s="8">
        <v>3.56</v>
      </c>
      <c r="E19" s="12">
        <v>43</v>
      </c>
      <c r="F19" s="8">
        <v>3.96</v>
      </c>
      <c r="G19" s="12">
        <v>12</v>
      </c>
      <c r="H19" s="8">
        <v>2.5499999999999998</v>
      </c>
      <c r="I19" s="12">
        <v>0</v>
      </c>
    </row>
    <row r="20" spans="2:9" ht="15" customHeight="1" x14ac:dyDescent="0.2">
      <c r="B20" s="9" t="s">
        <v>215</v>
      </c>
      <c r="C20" s="12">
        <f>SUM(LTBL_28224[総数／事業所数])</f>
        <v>1573</v>
      </c>
      <c r="E20" s="12">
        <f>SUBTOTAL(109,LTBL_28224[個人／事業所数])</f>
        <v>1085</v>
      </c>
      <c r="G20" s="12">
        <f>SUBTOTAL(109,LTBL_28224[法人／事業所数])</f>
        <v>471</v>
      </c>
      <c r="I20" s="12">
        <f>SUBTOTAL(109,LTBL_28224[法人以外の団体／事業所数])</f>
        <v>1</v>
      </c>
    </row>
    <row r="21" spans="2:9" ht="15" customHeight="1" x14ac:dyDescent="0.2">
      <c r="E21" s="11">
        <f>LTBL_28224[[#Totals],[個人／事業所数]]/LTBL_28224[[#Totals],[総数／事業所数]]</f>
        <v>0.68976478067387159</v>
      </c>
      <c r="G21" s="11">
        <f>LTBL_28224[[#Totals],[法人／事業所数]]/LTBL_28224[[#Totals],[総数／事業所数]]</f>
        <v>0.29942784488239033</v>
      </c>
      <c r="I21" s="11">
        <f>LTBL_28224[[#Totals],[法人以外の団体／事業所数]]/LTBL_28224[[#Totals],[総数／事業所数]]</f>
        <v>6.3572790845518119E-4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152</v>
      </c>
      <c r="D24" s="8">
        <v>9.66</v>
      </c>
      <c r="E24" s="12">
        <v>145</v>
      </c>
      <c r="F24" s="8">
        <v>13.36</v>
      </c>
      <c r="G24" s="12">
        <v>7</v>
      </c>
      <c r="H24" s="8">
        <v>1.49</v>
      </c>
      <c r="I24" s="12">
        <v>0</v>
      </c>
    </row>
    <row r="25" spans="2:9" ht="15" customHeight="1" x14ac:dyDescent="0.2">
      <c r="B25" t="s">
        <v>89</v>
      </c>
      <c r="C25" s="12">
        <v>144</v>
      </c>
      <c r="D25" s="8">
        <v>9.15</v>
      </c>
      <c r="E25" s="12">
        <v>138</v>
      </c>
      <c r="F25" s="8">
        <v>12.72</v>
      </c>
      <c r="G25" s="12">
        <v>6</v>
      </c>
      <c r="H25" s="8">
        <v>1.27</v>
      </c>
      <c r="I25" s="12">
        <v>0</v>
      </c>
    </row>
    <row r="26" spans="2:9" ht="15" customHeight="1" x14ac:dyDescent="0.2">
      <c r="B26" t="s">
        <v>83</v>
      </c>
      <c r="C26" s="12">
        <v>137</v>
      </c>
      <c r="D26" s="8">
        <v>8.7100000000000009</v>
      </c>
      <c r="E26" s="12">
        <v>88</v>
      </c>
      <c r="F26" s="8">
        <v>8.11</v>
      </c>
      <c r="G26" s="12">
        <v>49</v>
      </c>
      <c r="H26" s="8">
        <v>10.4</v>
      </c>
      <c r="I26" s="12">
        <v>0</v>
      </c>
    </row>
    <row r="27" spans="2:9" ht="15" customHeight="1" x14ac:dyDescent="0.2">
      <c r="B27" t="s">
        <v>81</v>
      </c>
      <c r="C27" s="12">
        <v>110</v>
      </c>
      <c r="D27" s="8">
        <v>6.99</v>
      </c>
      <c r="E27" s="12">
        <v>95</v>
      </c>
      <c r="F27" s="8">
        <v>8.76</v>
      </c>
      <c r="G27" s="12">
        <v>15</v>
      </c>
      <c r="H27" s="8">
        <v>3.18</v>
      </c>
      <c r="I27" s="12">
        <v>0</v>
      </c>
    </row>
    <row r="28" spans="2:9" ht="15" customHeight="1" x14ac:dyDescent="0.2">
      <c r="B28" t="s">
        <v>85</v>
      </c>
      <c r="C28" s="12">
        <v>106</v>
      </c>
      <c r="D28" s="8">
        <v>6.74</v>
      </c>
      <c r="E28" s="12">
        <v>75</v>
      </c>
      <c r="F28" s="8">
        <v>6.91</v>
      </c>
      <c r="G28" s="12">
        <v>31</v>
      </c>
      <c r="H28" s="8">
        <v>6.58</v>
      </c>
      <c r="I28" s="12">
        <v>0</v>
      </c>
    </row>
    <row r="29" spans="2:9" ht="15" customHeight="1" x14ac:dyDescent="0.2">
      <c r="B29" t="s">
        <v>74</v>
      </c>
      <c r="C29" s="12">
        <v>83</v>
      </c>
      <c r="D29" s="8">
        <v>5.28</v>
      </c>
      <c r="E29" s="12">
        <v>34</v>
      </c>
      <c r="F29" s="8">
        <v>3.13</v>
      </c>
      <c r="G29" s="12">
        <v>49</v>
      </c>
      <c r="H29" s="8">
        <v>10.4</v>
      </c>
      <c r="I29" s="12">
        <v>0</v>
      </c>
    </row>
    <row r="30" spans="2:9" ht="15" customHeight="1" x14ac:dyDescent="0.2">
      <c r="B30" t="s">
        <v>116</v>
      </c>
      <c r="C30" s="12">
        <v>82</v>
      </c>
      <c r="D30" s="8">
        <v>5.21</v>
      </c>
      <c r="E30" s="12">
        <v>57</v>
      </c>
      <c r="F30" s="8">
        <v>5.25</v>
      </c>
      <c r="G30" s="12">
        <v>25</v>
      </c>
      <c r="H30" s="8">
        <v>5.31</v>
      </c>
      <c r="I30" s="12">
        <v>0</v>
      </c>
    </row>
    <row r="31" spans="2:9" ht="15" customHeight="1" x14ac:dyDescent="0.2">
      <c r="B31" t="s">
        <v>91</v>
      </c>
      <c r="C31" s="12">
        <v>55</v>
      </c>
      <c r="D31" s="8">
        <v>3.5</v>
      </c>
      <c r="E31" s="12">
        <v>43</v>
      </c>
      <c r="F31" s="8">
        <v>3.96</v>
      </c>
      <c r="G31" s="12">
        <v>5</v>
      </c>
      <c r="H31" s="8">
        <v>1.06</v>
      </c>
      <c r="I31" s="12">
        <v>0</v>
      </c>
    </row>
    <row r="32" spans="2:9" ht="15" customHeight="1" x14ac:dyDescent="0.2">
      <c r="B32" t="s">
        <v>75</v>
      </c>
      <c r="C32" s="12">
        <v>53</v>
      </c>
      <c r="D32" s="8">
        <v>3.37</v>
      </c>
      <c r="E32" s="12">
        <v>39</v>
      </c>
      <c r="F32" s="8">
        <v>3.59</v>
      </c>
      <c r="G32" s="12">
        <v>14</v>
      </c>
      <c r="H32" s="8">
        <v>2.97</v>
      </c>
      <c r="I32" s="12">
        <v>0</v>
      </c>
    </row>
    <row r="33" spans="2:9" ht="15" customHeight="1" x14ac:dyDescent="0.2">
      <c r="B33" t="s">
        <v>82</v>
      </c>
      <c r="C33" s="12">
        <v>52</v>
      </c>
      <c r="D33" s="8">
        <v>3.31</v>
      </c>
      <c r="E33" s="12">
        <v>40</v>
      </c>
      <c r="F33" s="8">
        <v>3.69</v>
      </c>
      <c r="G33" s="12">
        <v>12</v>
      </c>
      <c r="H33" s="8">
        <v>2.5499999999999998</v>
      </c>
      <c r="I33" s="12">
        <v>0</v>
      </c>
    </row>
    <row r="34" spans="2:9" ht="15" customHeight="1" x14ac:dyDescent="0.2">
      <c r="B34" t="s">
        <v>80</v>
      </c>
      <c r="C34" s="12">
        <v>46</v>
      </c>
      <c r="D34" s="8">
        <v>2.92</v>
      </c>
      <c r="E34" s="12">
        <v>34</v>
      </c>
      <c r="F34" s="8">
        <v>3.13</v>
      </c>
      <c r="G34" s="12">
        <v>12</v>
      </c>
      <c r="H34" s="8">
        <v>2.5499999999999998</v>
      </c>
      <c r="I34" s="12">
        <v>0</v>
      </c>
    </row>
    <row r="35" spans="2:9" ht="15" customHeight="1" x14ac:dyDescent="0.2">
      <c r="B35" t="s">
        <v>108</v>
      </c>
      <c r="C35" s="12">
        <v>43</v>
      </c>
      <c r="D35" s="8">
        <v>2.73</v>
      </c>
      <c r="E35" s="12">
        <v>24</v>
      </c>
      <c r="F35" s="8">
        <v>2.21</v>
      </c>
      <c r="G35" s="12">
        <v>19</v>
      </c>
      <c r="H35" s="8">
        <v>4.03</v>
      </c>
      <c r="I35" s="12">
        <v>0</v>
      </c>
    </row>
    <row r="36" spans="2:9" ht="15" customHeight="1" x14ac:dyDescent="0.2">
      <c r="B36" t="s">
        <v>92</v>
      </c>
      <c r="C36" s="12">
        <v>42</v>
      </c>
      <c r="D36" s="8">
        <v>2.67</v>
      </c>
      <c r="E36" s="12">
        <v>40</v>
      </c>
      <c r="F36" s="8">
        <v>3.69</v>
      </c>
      <c r="G36" s="12">
        <v>2</v>
      </c>
      <c r="H36" s="8">
        <v>0.42</v>
      </c>
      <c r="I36" s="12">
        <v>0</v>
      </c>
    </row>
    <row r="37" spans="2:9" ht="15" customHeight="1" x14ac:dyDescent="0.2">
      <c r="B37" t="s">
        <v>104</v>
      </c>
      <c r="C37" s="12">
        <v>38</v>
      </c>
      <c r="D37" s="8">
        <v>2.42</v>
      </c>
      <c r="E37" s="12">
        <v>35</v>
      </c>
      <c r="F37" s="8">
        <v>3.23</v>
      </c>
      <c r="G37" s="12">
        <v>3</v>
      </c>
      <c r="H37" s="8">
        <v>0.64</v>
      </c>
      <c r="I37" s="12">
        <v>0</v>
      </c>
    </row>
    <row r="38" spans="2:9" ht="15" customHeight="1" x14ac:dyDescent="0.2">
      <c r="B38" t="s">
        <v>76</v>
      </c>
      <c r="C38" s="12">
        <v>35</v>
      </c>
      <c r="D38" s="8">
        <v>2.23</v>
      </c>
      <c r="E38" s="12">
        <v>25</v>
      </c>
      <c r="F38" s="8">
        <v>2.2999999999999998</v>
      </c>
      <c r="G38" s="12">
        <v>10</v>
      </c>
      <c r="H38" s="8">
        <v>2.12</v>
      </c>
      <c r="I38" s="12">
        <v>0</v>
      </c>
    </row>
    <row r="39" spans="2:9" ht="15" customHeight="1" x14ac:dyDescent="0.2">
      <c r="B39" t="s">
        <v>97</v>
      </c>
      <c r="C39" s="12">
        <v>35</v>
      </c>
      <c r="D39" s="8">
        <v>2.23</v>
      </c>
      <c r="E39" s="12">
        <v>7</v>
      </c>
      <c r="F39" s="8">
        <v>0.65</v>
      </c>
      <c r="G39" s="12">
        <v>28</v>
      </c>
      <c r="H39" s="8">
        <v>5.94</v>
      </c>
      <c r="I39" s="12">
        <v>0</v>
      </c>
    </row>
    <row r="40" spans="2:9" ht="15" customHeight="1" x14ac:dyDescent="0.2">
      <c r="B40" t="s">
        <v>95</v>
      </c>
      <c r="C40" s="12">
        <v>33</v>
      </c>
      <c r="D40" s="8">
        <v>2.1</v>
      </c>
      <c r="E40" s="12">
        <v>12</v>
      </c>
      <c r="F40" s="8">
        <v>1.1100000000000001</v>
      </c>
      <c r="G40" s="12">
        <v>21</v>
      </c>
      <c r="H40" s="8">
        <v>4.46</v>
      </c>
      <c r="I40" s="12">
        <v>0</v>
      </c>
    </row>
    <row r="41" spans="2:9" ht="15" customHeight="1" x14ac:dyDescent="0.2">
      <c r="B41" t="s">
        <v>87</v>
      </c>
      <c r="C41" s="12">
        <v>31</v>
      </c>
      <c r="D41" s="8">
        <v>1.97</v>
      </c>
      <c r="E41" s="12">
        <v>22</v>
      </c>
      <c r="F41" s="8">
        <v>2.0299999999999998</v>
      </c>
      <c r="G41" s="12">
        <v>9</v>
      </c>
      <c r="H41" s="8">
        <v>1.91</v>
      </c>
      <c r="I41" s="12">
        <v>0</v>
      </c>
    </row>
    <row r="42" spans="2:9" ht="15" customHeight="1" x14ac:dyDescent="0.2">
      <c r="B42" t="s">
        <v>105</v>
      </c>
      <c r="C42" s="12">
        <v>27</v>
      </c>
      <c r="D42" s="8">
        <v>1.72</v>
      </c>
      <c r="E42" s="12">
        <v>24</v>
      </c>
      <c r="F42" s="8">
        <v>2.21</v>
      </c>
      <c r="G42" s="12">
        <v>2</v>
      </c>
      <c r="H42" s="8">
        <v>0.42</v>
      </c>
      <c r="I42" s="12">
        <v>1</v>
      </c>
    </row>
    <row r="43" spans="2:9" ht="15" customHeight="1" x14ac:dyDescent="0.2">
      <c r="B43" t="s">
        <v>79</v>
      </c>
      <c r="C43" s="12">
        <v>20</v>
      </c>
      <c r="D43" s="8">
        <v>1.27</v>
      </c>
      <c r="E43" s="12">
        <v>10</v>
      </c>
      <c r="F43" s="8">
        <v>0.92</v>
      </c>
      <c r="G43" s="12">
        <v>10</v>
      </c>
      <c r="H43" s="8">
        <v>2.12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132</v>
      </c>
      <c r="C47" s="12">
        <v>70</v>
      </c>
      <c r="D47" s="8">
        <v>4.45</v>
      </c>
      <c r="E47" s="12">
        <v>54</v>
      </c>
      <c r="F47" s="8">
        <v>4.9800000000000004</v>
      </c>
      <c r="G47" s="12">
        <v>16</v>
      </c>
      <c r="H47" s="8">
        <v>3.4</v>
      </c>
      <c r="I47" s="12">
        <v>0</v>
      </c>
    </row>
    <row r="48" spans="2:9" ht="15" customHeight="1" x14ac:dyDescent="0.2">
      <c r="B48" t="s">
        <v>138</v>
      </c>
      <c r="C48" s="12">
        <v>68</v>
      </c>
      <c r="D48" s="8">
        <v>4.32</v>
      </c>
      <c r="E48" s="12">
        <v>67</v>
      </c>
      <c r="F48" s="8">
        <v>6.18</v>
      </c>
      <c r="G48" s="12">
        <v>1</v>
      </c>
      <c r="H48" s="8">
        <v>0.21</v>
      </c>
      <c r="I48" s="12">
        <v>0</v>
      </c>
    </row>
    <row r="49" spans="2:9" ht="15" customHeight="1" x14ac:dyDescent="0.2">
      <c r="B49" t="s">
        <v>192</v>
      </c>
      <c r="C49" s="12">
        <v>67</v>
      </c>
      <c r="D49" s="8">
        <v>4.26</v>
      </c>
      <c r="E49" s="12">
        <v>48</v>
      </c>
      <c r="F49" s="8">
        <v>4.42</v>
      </c>
      <c r="G49" s="12">
        <v>19</v>
      </c>
      <c r="H49" s="8">
        <v>4.03</v>
      </c>
      <c r="I49" s="12">
        <v>0</v>
      </c>
    </row>
    <row r="50" spans="2:9" ht="15" customHeight="1" x14ac:dyDescent="0.2">
      <c r="B50" t="s">
        <v>137</v>
      </c>
      <c r="C50" s="12">
        <v>50</v>
      </c>
      <c r="D50" s="8">
        <v>3.18</v>
      </c>
      <c r="E50" s="12">
        <v>50</v>
      </c>
      <c r="F50" s="8">
        <v>4.6100000000000003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136</v>
      </c>
      <c r="C51" s="12">
        <v>43</v>
      </c>
      <c r="D51" s="8">
        <v>2.73</v>
      </c>
      <c r="E51" s="12">
        <v>43</v>
      </c>
      <c r="F51" s="8">
        <v>3.96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165</v>
      </c>
      <c r="C52" s="12">
        <v>38</v>
      </c>
      <c r="D52" s="8">
        <v>2.42</v>
      </c>
      <c r="E52" s="12">
        <v>35</v>
      </c>
      <c r="F52" s="8">
        <v>3.23</v>
      </c>
      <c r="G52" s="12">
        <v>3</v>
      </c>
      <c r="H52" s="8">
        <v>0.64</v>
      </c>
      <c r="I52" s="12">
        <v>0</v>
      </c>
    </row>
    <row r="53" spans="2:9" ht="15" customHeight="1" x14ac:dyDescent="0.2">
      <c r="B53" t="s">
        <v>129</v>
      </c>
      <c r="C53" s="12">
        <v>36</v>
      </c>
      <c r="D53" s="8">
        <v>2.29</v>
      </c>
      <c r="E53" s="12">
        <v>29</v>
      </c>
      <c r="F53" s="8">
        <v>2.67</v>
      </c>
      <c r="G53" s="12">
        <v>7</v>
      </c>
      <c r="H53" s="8">
        <v>1.49</v>
      </c>
      <c r="I53" s="12">
        <v>0</v>
      </c>
    </row>
    <row r="54" spans="2:9" ht="15" customHeight="1" x14ac:dyDescent="0.2">
      <c r="B54" t="s">
        <v>122</v>
      </c>
      <c r="C54" s="12">
        <v>32</v>
      </c>
      <c r="D54" s="8">
        <v>2.0299999999999998</v>
      </c>
      <c r="E54" s="12">
        <v>9</v>
      </c>
      <c r="F54" s="8">
        <v>0.83</v>
      </c>
      <c r="G54" s="12">
        <v>23</v>
      </c>
      <c r="H54" s="8">
        <v>4.88</v>
      </c>
      <c r="I54" s="12">
        <v>0</v>
      </c>
    </row>
    <row r="55" spans="2:9" ht="15" customHeight="1" x14ac:dyDescent="0.2">
      <c r="B55" t="s">
        <v>123</v>
      </c>
      <c r="C55" s="12">
        <v>30</v>
      </c>
      <c r="D55" s="8">
        <v>1.91</v>
      </c>
      <c r="E55" s="12">
        <v>12</v>
      </c>
      <c r="F55" s="8">
        <v>1.1100000000000001</v>
      </c>
      <c r="G55" s="12">
        <v>18</v>
      </c>
      <c r="H55" s="8">
        <v>3.82</v>
      </c>
      <c r="I55" s="12">
        <v>0</v>
      </c>
    </row>
    <row r="56" spans="2:9" ht="15" customHeight="1" x14ac:dyDescent="0.2">
      <c r="B56" t="s">
        <v>126</v>
      </c>
      <c r="C56" s="12">
        <v>29</v>
      </c>
      <c r="D56" s="8">
        <v>1.84</v>
      </c>
      <c r="E56" s="12">
        <v>23</v>
      </c>
      <c r="F56" s="8">
        <v>2.12</v>
      </c>
      <c r="G56" s="12">
        <v>6</v>
      </c>
      <c r="H56" s="8">
        <v>1.27</v>
      </c>
      <c r="I56" s="12">
        <v>0</v>
      </c>
    </row>
    <row r="57" spans="2:9" ht="15" customHeight="1" x14ac:dyDescent="0.2">
      <c r="B57" t="s">
        <v>133</v>
      </c>
      <c r="C57" s="12">
        <v>29</v>
      </c>
      <c r="D57" s="8">
        <v>1.84</v>
      </c>
      <c r="E57" s="12">
        <v>26</v>
      </c>
      <c r="F57" s="8">
        <v>2.4</v>
      </c>
      <c r="G57" s="12">
        <v>3</v>
      </c>
      <c r="H57" s="8">
        <v>0.64</v>
      </c>
      <c r="I57" s="12">
        <v>0</v>
      </c>
    </row>
    <row r="58" spans="2:9" ht="15" customHeight="1" x14ac:dyDescent="0.2">
      <c r="B58" t="s">
        <v>153</v>
      </c>
      <c r="C58" s="12">
        <v>28</v>
      </c>
      <c r="D58" s="8">
        <v>1.78</v>
      </c>
      <c r="E58" s="12">
        <v>10</v>
      </c>
      <c r="F58" s="8">
        <v>0.92</v>
      </c>
      <c r="G58" s="12">
        <v>18</v>
      </c>
      <c r="H58" s="8">
        <v>3.82</v>
      </c>
      <c r="I58" s="12">
        <v>0</v>
      </c>
    </row>
    <row r="59" spans="2:9" ht="15" customHeight="1" x14ac:dyDescent="0.2">
      <c r="B59" t="s">
        <v>127</v>
      </c>
      <c r="C59" s="12">
        <v>28</v>
      </c>
      <c r="D59" s="8">
        <v>1.78</v>
      </c>
      <c r="E59" s="12">
        <v>22</v>
      </c>
      <c r="F59" s="8">
        <v>2.0299999999999998</v>
      </c>
      <c r="G59" s="12">
        <v>6</v>
      </c>
      <c r="H59" s="8">
        <v>1.27</v>
      </c>
      <c r="I59" s="12">
        <v>0</v>
      </c>
    </row>
    <row r="60" spans="2:9" ht="15" customHeight="1" x14ac:dyDescent="0.2">
      <c r="B60" t="s">
        <v>140</v>
      </c>
      <c r="C60" s="12">
        <v>27</v>
      </c>
      <c r="D60" s="8">
        <v>1.72</v>
      </c>
      <c r="E60" s="12">
        <v>24</v>
      </c>
      <c r="F60" s="8">
        <v>2.21</v>
      </c>
      <c r="G60" s="12">
        <v>3</v>
      </c>
      <c r="H60" s="8">
        <v>0.64</v>
      </c>
      <c r="I60" s="12">
        <v>0</v>
      </c>
    </row>
    <row r="61" spans="2:9" ht="15" customHeight="1" x14ac:dyDescent="0.2">
      <c r="B61" t="s">
        <v>151</v>
      </c>
      <c r="C61" s="12">
        <v>26</v>
      </c>
      <c r="D61" s="8">
        <v>1.65</v>
      </c>
      <c r="E61" s="12">
        <v>24</v>
      </c>
      <c r="F61" s="8">
        <v>2.21</v>
      </c>
      <c r="G61" s="12">
        <v>2</v>
      </c>
      <c r="H61" s="8">
        <v>0.42</v>
      </c>
      <c r="I61" s="12">
        <v>0</v>
      </c>
    </row>
    <row r="62" spans="2:9" ht="15" customHeight="1" x14ac:dyDescent="0.2">
      <c r="B62" t="s">
        <v>171</v>
      </c>
      <c r="C62" s="12">
        <v>26</v>
      </c>
      <c r="D62" s="8">
        <v>1.65</v>
      </c>
      <c r="E62" s="12">
        <v>24</v>
      </c>
      <c r="F62" s="8">
        <v>2.21</v>
      </c>
      <c r="G62" s="12">
        <v>2</v>
      </c>
      <c r="H62" s="8">
        <v>0.42</v>
      </c>
      <c r="I62" s="12">
        <v>0</v>
      </c>
    </row>
    <row r="63" spans="2:9" ht="15" customHeight="1" x14ac:dyDescent="0.2">
      <c r="B63" t="s">
        <v>141</v>
      </c>
      <c r="C63" s="12">
        <v>26</v>
      </c>
      <c r="D63" s="8">
        <v>1.65</v>
      </c>
      <c r="E63" s="12">
        <v>25</v>
      </c>
      <c r="F63" s="8">
        <v>2.2999999999999998</v>
      </c>
      <c r="G63" s="12">
        <v>1</v>
      </c>
      <c r="H63" s="8">
        <v>0.21</v>
      </c>
      <c r="I63" s="12">
        <v>0</v>
      </c>
    </row>
    <row r="64" spans="2:9" ht="15" customHeight="1" x14ac:dyDescent="0.2">
      <c r="B64" t="s">
        <v>193</v>
      </c>
      <c r="C64" s="12">
        <v>25</v>
      </c>
      <c r="D64" s="8">
        <v>1.59</v>
      </c>
      <c r="E64" s="12">
        <v>5</v>
      </c>
      <c r="F64" s="8">
        <v>0.46</v>
      </c>
      <c r="G64" s="12">
        <v>20</v>
      </c>
      <c r="H64" s="8">
        <v>4.25</v>
      </c>
      <c r="I64" s="12">
        <v>0</v>
      </c>
    </row>
    <row r="65" spans="2:9" ht="15" customHeight="1" x14ac:dyDescent="0.2">
      <c r="B65" t="s">
        <v>191</v>
      </c>
      <c r="C65" s="12">
        <v>23</v>
      </c>
      <c r="D65" s="8">
        <v>1.46</v>
      </c>
      <c r="E65" s="12">
        <v>15</v>
      </c>
      <c r="F65" s="8">
        <v>1.38</v>
      </c>
      <c r="G65" s="12">
        <v>8</v>
      </c>
      <c r="H65" s="8">
        <v>1.7</v>
      </c>
      <c r="I65" s="12">
        <v>0</v>
      </c>
    </row>
    <row r="66" spans="2:9" ht="15" customHeight="1" x14ac:dyDescent="0.2">
      <c r="B66" t="s">
        <v>125</v>
      </c>
      <c r="C66" s="12">
        <v>23</v>
      </c>
      <c r="D66" s="8">
        <v>1.46</v>
      </c>
      <c r="E66" s="12">
        <v>20</v>
      </c>
      <c r="F66" s="8">
        <v>1.84</v>
      </c>
      <c r="G66" s="12">
        <v>3</v>
      </c>
      <c r="H66" s="8">
        <v>0.64</v>
      </c>
      <c r="I66" s="12">
        <v>0</v>
      </c>
    </row>
    <row r="67" spans="2:9" ht="15" customHeight="1" x14ac:dyDescent="0.2">
      <c r="B67" t="s">
        <v>154</v>
      </c>
      <c r="C67" s="12">
        <v>23</v>
      </c>
      <c r="D67" s="8">
        <v>1.46</v>
      </c>
      <c r="E67" s="12">
        <v>21</v>
      </c>
      <c r="F67" s="8">
        <v>1.94</v>
      </c>
      <c r="G67" s="12">
        <v>2</v>
      </c>
      <c r="H67" s="8">
        <v>0.42</v>
      </c>
      <c r="I67" s="12">
        <v>0</v>
      </c>
    </row>
    <row r="69" spans="2:9" ht="15" customHeight="1" x14ac:dyDescent="0.2">
      <c r="B69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9E74-A596-40C2-A11B-72380717075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140</v>
      </c>
      <c r="D6" s="8">
        <v>14.93</v>
      </c>
      <c r="E6" s="12">
        <v>65</v>
      </c>
      <c r="F6" s="8">
        <v>11.36</v>
      </c>
      <c r="G6" s="12">
        <v>75</v>
      </c>
      <c r="H6" s="8">
        <v>21.93</v>
      </c>
      <c r="I6" s="12">
        <v>0</v>
      </c>
    </row>
    <row r="7" spans="2:9" ht="15" customHeight="1" x14ac:dyDescent="0.2">
      <c r="B7" t="s">
        <v>53</v>
      </c>
      <c r="C7" s="12">
        <v>84</v>
      </c>
      <c r="D7" s="8">
        <v>8.9600000000000009</v>
      </c>
      <c r="E7" s="12">
        <v>30</v>
      </c>
      <c r="F7" s="8">
        <v>5.24</v>
      </c>
      <c r="G7" s="12">
        <v>53</v>
      </c>
      <c r="H7" s="8">
        <v>15.5</v>
      </c>
      <c r="I7" s="12">
        <v>1</v>
      </c>
    </row>
    <row r="8" spans="2:9" ht="15" customHeight="1" x14ac:dyDescent="0.2">
      <c r="B8" t="s">
        <v>54</v>
      </c>
      <c r="C8" s="12">
        <v>1</v>
      </c>
      <c r="D8" s="8">
        <v>0.11</v>
      </c>
      <c r="E8" s="12">
        <v>0</v>
      </c>
      <c r="F8" s="8">
        <v>0</v>
      </c>
      <c r="G8" s="12">
        <v>1</v>
      </c>
      <c r="H8" s="8">
        <v>0.28999999999999998</v>
      </c>
      <c r="I8" s="12">
        <v>0</v>
      </c>
    </row>
    <row r="9" spans="2:9" ht="15" customHeight="1" x14ac:dyDescent="0.2">
      <c r="B9" t="s">
        <v>55</v>
      </c>
      <c r="C9" s="12">
        <v>7</v>
      </c>
      <c r="D9" s="8">
        <v>0.75</v>
      </c>
      <c r="E9" s="12">
        <v>0</v>
      </c>
      <c r="F9" s="8">
        <v>0</v>
      </c>
      <c r="G9" s="12">
        <v>7</v>
      </c>
      <c r="H9" s="8">
        <v>2.0499999999999998</v>
      </c>
      <c r="I9" s="12">
        <v>0</v>
      </c>
    </row>
    <row r="10" spans="2:9" ht="15" customHeight="1" x14ac:dyDescent="0.2">
      <c r="B10" t="s">
        <v>56</v>
      </c>
      <c r="C10" s="12">
        <v>12</v>
      </c>
      <c r="D10" s="8">
        <v>1.28</v>
      </c>
      <c r="E10" s="12">
        <v>3</v>
      </c>
      <c r="F10" s="8">
        <v>0.52</v>
      </c>
      <c r="G10" s="12">
        <v>8</v>
      </c>
      <c r="H10" s="8">
        <v>2.34</v>
      </c>
      <c r="I10" s="12">
        <v>1</v>
      </c>
    </row>
    <row r="11" spans="2:9" ht="15" customHeight="1" x14ac:dyDescent="0.2">
      <c r="B11" t="s">
        <v>57</v>
      </c>
      <c r="C11" s="12">
        <v>240</v>
      </c>
      <c r="D11" s="8">
        <v>25.59</v>
      </c>
      <c r="E11" s="12">
        <v>142</v>
      </c>
      <c r="F11" s="8">
        <v>24.83</v>
      </c>
      <c r="G11" s="12">
        <v>97</v>
      </c>
      <c r="H11" s="8">
        <v>28.36</v>
      </c>
      <c r="I11" s="12">
        <v>1</v>
      </c>
    </row>
    <row r="12" spans="2:9" ht="15" customHeight="1" x14ac:dyDescent="0.2">
      <c r="B12" t="s">
        <v>58</v>
      </c>
      <c r="C12" s="12">
        <v>4</v>
      </c>
      <c r="D12" s="8">
        <v>0.43</v>
      </c>
      <c r="E12" s="12">
        <v>2</v>
      </c>
      <c r="F12" s="8">
        <v>0.35</v>
      </c>
      <c r="G12" s="12">
        <v>2</v>
      </c>
      <c r="H12" s="8">
        <v>0.57999999999999996</v>
      </c>
      <c r="I12" s="12">
        <v>0</v>
      </c>
    </row>
    <row r="13" spans="2:9" ht="15" customHeight="1" x14ac:dyDescent="0.2">
      <c r="B13" t="s">
        <v>59</v>
      </c>
      <c r="C13" s="12">
        <v>58</v>
      </c>
      <c r="D13" s="8">
        <v>6.18</v>
      </c>
      <c r="E13" s="12">
        <v>39</v>
      </c>
      <c r="F13" s="8">
        <v>6.82</v>
      </c>
      <c r="G13" s="12">
        <v>18</v>
      </c>
      <c r="H13" s="8">
        <v>5.26</v>
      </c>
      <c r="I13" s="12">
        <v>1</v>
      </c>
    </row>
    <row r="14" spans="2:9" ht="15" customHeight="1" x14ac:dyDescent="0.2">
      <c r="B14" t="s">
        <v>60</v>
      </c>
      <c r="C14" s="12">
        <v>35</v>
      </c>
      <c r="D14" s="8">
        <v>3.73</v>
      </c>
      <c r="E14" s="12">
        <v>19</v>
      </c>
      <c r="F14" s="8">
        <v>3.32</v>
      </c>
      <c r="G14" s="12">
        <v>15</v>
      </c>
      <c r="H14" s="8">
        <v>4.3899999999999997</v>
      </c>
      <c r="I14" s="12">
        <v>0</v>
      </c>
    </row>
    <row r="15" spans="2:9" ht="15" customHeight="1" x14ac:dyDescent="0.2">
      <c r="B15" t="s">
        <v>61</v>
      </c>
      <c r="C15" s="12">
        <v>112</v>
      </c>
      <c r="D15" s="8">
        <v>11.94</v>
      </c>
      <c r="E15" s="12">
        <v>97</v>
      </c>
      <c r="F15" s="8">
        <v>16.96</v>
      </c>
      <c r="G15" s="12">
        <v>15</v>
      </c>
      <c r="H15" s="8">
        <v>4.3899999999999997</v>
      </c>
      <c r="I15" s="12">
        <v>0</v>
      </c>
    </row>
    <row r="16" spans="2:9" ht="15" customHeight="1" x14ac:dyDescent="0.2">
      <c r="B16" t="s">
        <v>62</v>
      </c>
      <c r="C16" s="12">
        <v>128</v>
      </c>
      <c r="D16" s="8">
        <v>13.65</v>
      </c>
      <c r="E16" s="12">
        <v>112</v>
      </c>
      <c r="F16" s="8">
        <v>19.579999999999998</v>
      </c>
      <c r="G16" s="12">
        <v>14</v>
      </c>
      <c r="H16" s="8">
        <v>4.09</v>
      </c>
      <c r="I16" s="12">
        <v>1</v>
      </c>
    </row>
    <row r="17" spans="2:9" ht="15" customHeight="1" x14ac:dyDescent="0.2">
      <c r="B17" t="s">
        <v>63</v>
      </c>
      <c r="C17" s="12">
        <v>42</v>
      </c>
      <c r="D17" s="8">
        <v>4.4800000000000004</v>
      </c>
      <c r="E17" s="12">
        <v>31</v>
      </c>
      <c r="F17" s="8">
        <v>5.42</v>
      </c>
      <c r="G17" s="12">
        <v>5</v>
      </c>
      <c r="H17" s="8">
        <v>1.46</v>
      </c>
      <c r="I17" s="12">
        <v>0</v>
      </c>
    </row>
    <row r="18" spans="2:9" ht="15" customHeight="1" x14ac:dyDescent="0.2">
      <c r="B18" t="s">
        <v>64</v>
      </c>
      <c r="C18" s="12">
        <v>40</v>
      </c>
      <c r="D18" s="8">
        <v>4.26</v>
      </c>
      <c r="E18" s="12">
        <v>18</v>
      </c>
      <c r="F18" s="8">
        <v>3.15</v>
      </c>
      <c r="G18" s="12">
        <v>14</v>
      </c>
      <c r="H18" s="8">
        <v>4.09</v>
      </c>
      <c r="I18" s="12">
        <v>1</v>
      </c>
    </row>
    <row r="19" spans="2:9" ht="15" customHeight="1" x14ac:dyDescent="0.2">
      <c r="B19" t="s">
        <v>65</v>
      </c>
      <c r="C19" s="12">
        <v>35</v>
      </c>
      <c r="D19" s="8">
        <v>3.73</v>
      </c>
      <c r="E19" s="12">
        <v>14</v>
      </c>
      <c r="F19" s="8">
        <v>2.4500000000000002</v>
      </c>
      <c r="G19" s="12">
        <v>18</v>
      </c>
      <c r="H19" s="8">
        <v>5.26</v>
      </c>
      <c r="I19" s="12">
        <v>0</v>
      </c>
    </row>
    <row r="20" spans="2:9" ht="15" customHeight="1" x14ac:dyDescent="0.2">
      <c r="B20" s="9" t="s">
        <v>215</v>
      </c>
      <c r="C20" s="12">
        <f>SUM(LTBL_28225[総数／事業所数])</f>
        <v>938</v>
      </c>
      <c r="E20" s="12">
        <f>SUBTOTAL(109,LTBL_28225[個人／事業所数])</f>
        <v>572</v>
      </c>
      <c r="G20" s="12">
        <f>SUBTOTAL(109,LTBL_28225[法人／事業所数])</f>
        <v>342</v>
      </c>
      <c r="I20" s="12">
        <f>SUBTOTAL(109,LTBL_28225[法人以外の団体／事業所数])</f>
        <v>6</v>
      </c>
    </row>
    <row r="21" spans="2:9" ht="15" customHeight="1" x14ac:dyDescent="0.2">
      <c r="E21" s="11">
        <f>LTBL_28225[[#Totals],[個人／事業所数]]/LTBL_28225[[#Totals],[総数／事業所数]]</f>
        <v>0.60980810234541583</v>
      </c>
      <c r="G21" s="11">
        <f>LTBL_28225[[#Totals],[法人／事業所数]]/LTBL_28225[[#Totals],[総数／事業所数]]</f>
        <v>0.3646055437100213</v>
      </c>
      <c r="I21" s="11">
        <f>LTBL_28225[[#Totals],[法人以外の団体／事業所数]]/LTBL_28225[[#Totals],[総数／事業所数]]</f>
        <v>6.3965884861407248E-3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101</v>
      </c>
      <c r="D24" s="8">
        <v>10.77</v>
      </c>
      <c r="E24" s="12">
        <v>96</v>
      </c>
      <c r="F24" s="8">
        <v>16.78</v>
      </c>
      <c r="G24" s="12">
        <v>5</v>
      </c>
      <c r="H24" s="8">
        <v>1.46</v>
      </c>
      <c r="I24" s="12">
        <v>0</v>
      </c>
    </row>
    <row r="25" spans="2:9" ht="15" customHeight="1" x14ac:dyDescent="0.2">
      <c r="B25" t="s">
        <v>88</v>
      </c>
      <c r="C25" s="12">
        <v>98</v>
      </c>
      <c r="D25" s="8">
        <v>10.45</v>
      </c>
      <c r="E25" s="12">
        <v>88</v>
      </c>
      <c r="F25" s="8">
        <v>15.38</v>
      </c>
      <c r="G25" s="12">
        <v>10</v>
      </c>
      <c r="H25" s="8">
        <v>2.92</v>
      </c>
      <c r="I25" s="12">
        <v>0</v>
      </c>
    </row>
    <row r="26" spans="2:9" ht="15" customHeight="1" x14ac:dyDescent="0.2">
      <c r="B26" t="s">
        <v>83</v>
      </c>
      <c r="C26" s="12">
        <v>93</v>
      </c>
      <c r="D26" s="8">
        <v>9.91</v>
      </c>
      <c r="E26" s="12">
        <v>50</v>
      </c>
      <c r="F26" s="8">
        <v>8.74</v>
      </c>
      <c r="G26" s="12">
        <v>43</v>
      </c>
      <c r="H26" s="8">
        <v>12.57</v>
      </c>
      <c r="I26" s="12">
        <v>0</v>
      </c>
    </row>
    <row r="27" spans="2:9" ht="15" customHeight="1" x14ac:dyDescent="0.2">
      <c r="B27" t="s">
        <v>74</v>
      </c>
      <c r="C27" s="12">
        <v>76</v>
      </c>
      <c r="D27" s="8">
        <v>8.1</v>
      </c>
      <c r="E27" s="12">
        <v>25</v>
      </c>
      <c r="F27" s="8">
        <v>4.37</v>
      </c>
      <c r="G27" s="12">
        <v>51</v>
      </c>
      <c r="H27" s="8">
        <v>14.91</v>
      </c>
      <c r="I27" s="12">
        <v>0</v>
      </c>
    </row>
    <row r="28" spans="2:9" ht="15" customHeight="1" x14ac:dyDescent="0.2">
      <c r="B28" t="s">
        <v>85</v>
      </c>
      <c r="C28" s="12">
        <v>48</v>
      </c>
      <c r="D28" s="8">
        <v>5.12</v>
      </c>
      <c r="E28" s="12">
        <v>37</v>
      </c>
      <c r="F28" s="8">
        <v>6.47</v>
      </c>
      <c r="G28" s="12">
        <v>10</v>
      </c>
      <c r="H28" s="8">
        <v>2.92</v>
      </c>
      <c r="I28" s="12">
        <v>1</v>
      </c>
    </row>
    <row r="29" spans="2:9" ht="15" customHeight="1" x14ac:dyDescent="0.2">
      <c r="B29" t="s">
        <v>91</v>
      </c>
      <c r="C29" s="12">
        <v>42</v>
      </c>
      <c r="D29" s="8">
        <v>4.4800000000000004</v>
      </c>
      <c r="E29" s="12">
        <v>31</v>
      </c>
      <c r="F29" s="8">
        <v>5.42</v>
      </c>
      <c r="G29" s="12">
        <v>5</v>
      </c>
      <c r="H29" s="8">
        <v>1.46</v>
      </c>
      <c r="I29" s="12">
        <v>0</v>
      </c>
    </row>
    <row r="30" spans="2:9" ht="15" customHeight="1" x14ac:dyDescent="0.2">
      <c r="B30" t="s">
        <v>81</v>
      </c>
      <c r="C30" s="12">
        <v>40</v>
      </c>
      <c r="D30" s="8">
        <v>4.26</v>
      </c>
      <c r="E30" s="12">
        <v>33</v>
      </c>
      <c r="F30" s="8">
        <v>5.77</v>
      </c>
      <c r="G30" s="12">
        <v>6</v>
      </c>
      <c r="H30" s="8">
        <v>1.75</v>
      </c>
      <c r="I30" s="12">
        <v>1</v>
      </c>
    </row>
    <row r="31" spans="2:9" ht="15" customHeight="1" x14ac:dyDescent="0.2">
      <c r="B31" t="s">
        <v>75</v>
      </c>
      <c r="C31" s="12">
        <v>39</v>
      </c>
      <c r="D31" s="8">
        <v>4.16</v>
      </c>
      <c r="E31" s="12">
        <v>29</v>
      </c>
      <c r="F31" s="8">
        <v>5.07</v>
      </c>
      <c r="G31" s="12">
        <v>10</v>
      </c>
      <c r="H31" s="8">
        <v>2.92</v>
      </c>
      <c r="I31" s="12">
        <v>0</v>
      </c>
    </row>
    <row r="32" spans="2:9" ht="15" customHeight="1" x14ac:dyDescent="0.2">
      <c r="B32" t="s">
        <v>82</v>
      </c>
      <c r="C32" s="12">
        <v>37</v>
      </c>
      <c r="D32" s="8">
        <v>3.94</v>
      </c>
      <c r="E32" s="12">
        <v>22</v>
      </c>
      <c r="F32" s="8">
        <v>3.85</v>
      </c>
      <c r="G32" s="12">
        <v>15</v>
      </c>
      <c r="H32" s="8">
        <v>4.3899999999999997</v>
      </c>
      <c r="I32" s="12">
        <v>0</v>
      </c>
    </row>
    <row r="33" spans="2:9" ht="15" customHeight="1" x14ac:dyDescent="0.2">
      <c r="B33" t="s">
        <v>80</v>
      </c>
      <c r="C33" s="12">
        <v>28</v>
      </c>
      <c r="D33" s="8">
        <v>2.99</v>
      </c>
      <c r="E33" s="12">
        <v>18</v>
      </c>
      <c r="F33" s="8">
        <v>3.15</v>
      </c>
      <c r="G33" s="12">
        <v>10</v>
      </c>
      <c r="H33" s="8">
        <v>2.92</v>
      </c>
      <c r="I33" s="12">
        <v>0</v>
      </c>
    </row>
    <row r="34" spans="2:9" ht="15" customHeight="1" x14ac:dyDescent="0.2">
      <c r="B34" t="s">
        <v>76</v>
      </c>
      <c r="C34" s="12">
        <v>25</v>
      </c>
      <c r="D34" s="8">
        <v>2.67</v>
      </c>
      <c r="E34" s="12">
        <v>11</v>
      </c>
      <c r="F34" s="8">
        <v>1.92</v>
      </c>
      <c r="G34" s="12">
        <v>14</v>
      </c>
      <c r="H34" s="8">
        <v>4.09</v>
      </c>
      <c r="I34" s="12">
        <v>0</v>
      </c>
    </row>
    <row r="35" spans="2:9" ht="15" customHeight="1" x14ac:dyDescent="0.2">
      <c r="B35" t="s">
        <v>93</v>
      </c>
      <c r="C35" s="12">
        <v>21</v>
      </c>
      <c r="D35" s="8">
        <v>2.2400000000000002</v>
      </c>
      <c r="E35" s="12">
        <v>0</v>
      </c>
      <c r="F35" s="8">
        <v>0</v>
      </c>
      <c r="G35" s="12">
        <v>13</v>
      </c>
      <c r="H35" s="8">
        <v>3.8</v>
      </c>
      <c r="I35" s="12">
        <v>1</v>
      </c>
    </row>
    <row r="36" spans="2:9" ht="15" customHeight="1" x14ac:dyDescent="0.2">
      <c r="B36" t="s">
        <v>92</v>
      </c>
      <c r="C36" s="12">
        <v>19</v>
      </c>
      <c r="D36" s="8">
        <v>2.0299999999999998</v>
      </c>
      <c r="E36" s="12">
        <v>18</v>
      </c>
      <c r="F36" s="8">
        <v>3.15</v>
      </c>
      <c r="G36" s="12">
        <v>1</v>
      </c>
      <c r="H36" s="8">
        <v>0.28999999999999998</v>
      </c>
      <c r="I36" s="12">
        <v>0</v>
      </c>
    </row>
    <row r="37" spans="2:9" ht="15" customHeight="1" x14ac:dyDescent="0.2">
      <c r="B37" t="s">
        <v>87</v>
      </c>
      <c r="C37" s="12">
        <v>18</v>
      </c>
      <c r="D37" s="8">
        <v>1.92</v>
      </c>
      <c r="E37" s="12">
        <v>8</v>
      </c>
      <c r="F37" s="8">
        <v>1.4</v>
      </c>
      <c r="G37" s="12">
        <v>9</v>
      </c>
      <c r="H37" s="8">
        <v>2.63</v>
      </c>
      <c r="I37" s="12">
        <v>0</v>
      </c>
    </row>
    <row r="38" spans="2:9" ht="15" customHeight="1" x14ac:dyDescent="0.2">
      <c r="B38" t="s">
        <v>90</v>
      </c>
      <c r="C38" s="12">
        <v>18</v>
      </c>
      <c r="D38" s="8">
        <v>1.92</v>
      </c>
      <c r="E38" s="12">
        <v>12</v>
      </c>
      <c r="F38" s="8">
        <v>2.1</v>
      </c>
      <c r="G38" s="12">
        <v>6</v>
      </c>
      <c r="H38" s="8">
        <v>1.75</v>
      </c>
      <c r="I38" s="12">
        <v>0</v>
      </c>
    </row>
    <row r="39" spans="2:9" ht="15" customHeight="1" x14ac:dyDescent="0.2">
      <c r="B39" t="s">
        <v>77</v>
      </c>
      <c r="C39" s="12">
        <v>17</v>
      </c>
      <c r="D39" s="8">
        <v>1.81</v>
      </c>
      <c r="E39" s="12">
        <v>7</v>
      </c>
      <c r="F39" s="8">
        <v>1.22</v>
      </c>
      <c r="G39" s="12">
        <v>10</v>
      </c>
      <c r="H39" s="8">
        <v>2.92</v>
      </c>
      <c r="I39" s="12">
        <v>0</v>
      </c>
    </row>
    <row r="40" spans="2:9" ht="15" customHeight="1" x14ac:dyDescent="0.2">
      <c r="B40" t="s">
        <v>86</v>
      </c>
      <c r="C40" s="12">
        <v>16</v>
      </c>
      <c r="D40" s="8">
        <v>1.71</v>
      </c>
      <c r="E40" s="12">
        <v>11</v>
      </c>
      <c r="F40" s="8">
        <v>1.92</v>
      </c>
      <c r="G40" s="12">
        <v>5</v>
      </c>
      <c r="H40" s="8">
        <v>1.46</v>
      </c>
      <c r="I40" s="12">
        <v>0</v>
      </c>
    </row>
    <row r="41" spans="2:9" ht="15" customHeight="1" x14ac:dyDescent="0.2">
      <c r="B41" t="s">
        <v>104</v>
      </c>
      <c r="C41" s="12">
        <v>12</v>
      </c>
      <c r="D41" s="8">
        <v>1.28</v>
      </c>
      <c r="E41" s="12">
        <v>8</v>
      </c>
      <c r="F41" s="8">
        <v>1.4</v>
      </c>
      <c r="G41" s="12">
        <v>4</v>
      </c>
      <c r="H41" s="8">
        <v>1.17</v>
      </c>
      <c r="I41" s="12">
        <v>0</v>
      </c>
    </row>
    <row r="42" spans="2:9" ht="15" customHeight="1" x14ac:dyDescent="0.2">
      <c r="B42" t="s">
        <v>78</v>
      </c>
      <c r="C42" s="12">
        <v>11</v>
      </c>
      <c r="D42" s="8">
        <v>1.17</v>
      </c>
      <c r="E42" s="12">
        <v>5</v>
      </c>
      <c r="F42" s="8">
        <v>0.87</v>
      </c>
      <c r="G42" s="12">
        <v>6</v>
      </c>
      <c r="H42" s="8">
        <v>1.75</v>
      </c>
      <c r="I42" s="12">
        <v>0</v>
      </c>
    </row>
    <row r="43" spans="2:9" ht="15" customHeight="1" x14ac:dyDescent="0.2">
      <c r="B43" t="s">
        <v>94</v>
      </c>
      <c r="C43" s="12">
        <v>10</v>
      </c>
      <c r="D43" s="8">
        <v>1.07</v>
      </c>
      <c r="E43" s="12">
        <v>2</v>
      </c>
      <c r="F43" s="8">
        <v>0.35</v>
      </c>
      <c r="G43" s="12">
        <v>8</v>
      </c>
      <c r="H43" s="8">
        <v>2.34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60</v>
      </c>
      <c r="D47" s="8">
        <v>6.4</v>
      </c>
      <c r="E47" s="12">
        <v>60</v>
      </c>
      <c r="F47" s="8">
        <v>10.49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132</v>
      </c>
      <c r="C48" s="12">
        <v>40</v>
      </c>
      <c r="D48" s="8">
        <v>4.26</v>
      </c>
      <c r="E48" s="12">
        <v>31</v>
      </c>
      <c r="F48" s="8">
        <v>5.42</v>
      </c>
      <c r="G48" s="12">
        <v>9</v>
      </c>
      <c r="H48" s="8">
        <v>2.63</v>
      </c>
      <c r="I48" s="12">
        <v>0</v>
      </c>
    </row>
    <row r="49" spans="2:9" ht="15" customHeight="1" x14ac:dyDescent="0.2">
      <c r="B49" t="s">
        <v>122</v>
      </c>
      <c r="C49" s="12">
        <v>39</v>
      </c>
      <c r="D49" s="8">
        <v>4.16</v>
      </c>
      <c r="E49" s="12">
        <v>10</v>
      </c>
      <c r="F49" s="8">
        <v>1.75</v>
      </c>
      <c r="G49" s="12">
        <v>29</v>
      </c>
      <c r="H49" s="8">
        <v>8.48</v>
      </c>
      <c r="I49" s="12">
        <v>0</v>
      </c>
    </row>
    <row r="50" spans="2:9" ht="15" customHeight="1" x14ac:dyDescent="0.2">
      <c r="B50" t="s">
        <v>136</v>
      </c>
      <c r="C50" s="12">
        <v>30</v>
      </c>
      <c r="D50" s="8">
        <v>3.2</v>
      </c>
      <c r="E50" s="12">
        <v>28</v>
      </c>
      <c r="F50" s="8">
        <v>4.9000000000000004</v>
      </c>
      <c r="G50" s="12">
        <v>2</v>
      </c>
      <c r="H50" s="8">
        <v>0.57999999999999996</v>
      </c>
      <c r="I50" s="12">
        <v>0</v>
      </c>
    </row>
    <row r="51" spans="2:9" ht="15" customHeight="1" x14ac:dyDescent="0.2">
      <c r="B51" t="s">
        <v>127</v>
      </c>
      <c r="C51" s="12">
        <v>27</v>
      </c>
      <c r="D51" s="8">
        <v>2.88</v>
      </c>
      <c r="E51" s="12">
        <v>14</v>
      </c>
      <c r="F51" s="8">
        <v>2.4500000000000002</v>
      </c>
      <c r="G51" s="12">
        <v>13</v>
      </c>
      <c r="H51" s="8">
        <v>3.8</v>
      </c>
      <c r="I51" s="12">
        <v>0</v>
      </c>
    </row>
    <row r="52" spans="2:9" ht="15" customHeight="1" x14ac:dyDescent="0.2">
      <c r="B52" t="s">
        <v>129</v>
      </c>
      <c r="C52" s="12">
        <v>27</v>
      </c>
      <c r="D52" s="8">
        <v>2.88</v>
      </c>
      <c r="E52" s="12">
        <v>17</v>
      </c>
      <c r="F52" s="8">
        <v>2.97</v>
      </c>
      <c r="G52" s="12">
        <v>10</v>
      </c>
      <c r="H52" s="8">
        <v>2.92</v>
      </c>
      <c r="I52" s="12">
        <v>0</v>
      </c>
    </row>
    <row r="53" spans="2:9" ht="15" customHeight="1" x14ac:dyDescent="0.2">
      <c r="B53" t="s">
        <v>137</v>
      </c>
      <c r="C53" s="12">
        <v>26</v>
      </c>
      <c r="D53" s="8">
        <v>2.77</v>
      </c>
      <c r="E53" s="12">
        <v>25</v>
      </c>
      <c r="F53" s="8">
        <v>4.37</v>
      </c>
      <c r="G53" s="12">
        <v>1</v>
      </c>
      <c r="H53" s="8">
        <v>0.28999999999999998</v>
      </c>
      <c r="I53" s="12">
        <v>0</v>
      </c>
    </row>
    <row r="54" spans="2:9" ht="15" customHeight="1" x14ac:dyDescent="0.2">
      <c r="B54" t="s">
        <v>140</v>
      </c>
      <c r="C54" s="12">
        <v>24</v>
      </c>
      <c r="D54" s="8">
        <v>2.56</v>
      </c>
      <c r="E54" s="12">
        <v>21</v>
      </c>
      <c r="F54" s="8">
        <v>3.67</v>
      </c>
      <c r="G54" s="12">
        <v>3</v>
      </c>
      <c r="H54" s="8">
        <v>0.88</v>
      </c>
      <c r="I54" s="12">
        <v>0</v>
      </c>
    </row>
    <row r="55" spans="2:9" ht="15" customHeight="1" x14ac:dyDescent="0.2">
      <c r="B55" t="s">
        <v>169</v>
      </c>
      <c r="C55" s="12">
        <v>18</v>
      </c>
      <c r="D55" s="8">
        <v>1.92</v>
      </c>
      <c r="E55" s="12">
        <v>8</v>
      </c>
      <c r="F55" s="8">
        <v>1.4</v>
      </c>
      <c r="G55" s="12">
        <v>10</v>
      </c>
      <c r="H55" s="8">
        <v>2.92</v>
      </c>
      <c r="I55" s="12">
        <v>0</v>
      </c>
    </row>
    <row r="56" spans="2:9" ht="15" customHeight="1" x14ac:dyDescent="0.2">
      <c r="B56" t="s">
        <v>133</v>
      </c>
      <c r="C56" s="12">
        <v>18</v>
      </c>
      <c r="D56" s="8">
        <v>1.92</v>
      </c>
      <c r="E56" s="12">
        <v>14</v>
      </c>
      <c r="F56" s="8">
        <v>2.4500000000000002</v>
      </c>
      <c r="G56" s="12">
        <v>4</v>
      </c>
      <c r="H56" s="8">
        <v>1.17</v>
      </c>
      <c r="I56" s="12">
        <v>0</v>
      </c>
    </row>
    <row r="57" spans="2:9" ht="15" customHeight="1" x14ac:dyDescent="0.2">
      <c r="B57" t="s">
        <v>124</v>
      </c>
      <c r="C57" s="12">
        <v>17</v>
      </c>
      <c r="D57" s="8">
        <v>1.81</v>
      </c>
      <c r="E57" s="12">
        <v>7</v>
      </c>
      <c r="F57" s="8">
        <v>1.22</v>
      </c>
      <c r="G57" s="12">
        <v>10</v>
      </c>
      <c r="H57" s="8">
        <v>2.92</v>
      </c>
      <c r="I57" s="12">
        <v>0</v>
      </c>
    </row>
    <row r="58" spans="2:9" ht="15" customHeight="1" x14ac:dyDescent="0.2">
      <c r="B58" t="s">
        <v>128</v>
      </c>
      <c r="C58" s="12">
        <v>17</v>
      </c>
      <c r="D58" s="8">
        <v>1.81</v>
      </c>
      <c r="E58" s="12">
        <v>10</v>
      </c>
      <c r="F58" s="8">
        <v>1.75</v>
      </c>
      <c r="G58" s="12">
        <v>7</v>
      </c>
      <c r="H58" s="8">
        <v>2.0499999999999998</v>
      </c>
      <c r="I58" s="12">
        <v>0</v>
      </c>
    </row>
    <row r="59" spans="2:9" ht="15" customHeight="1" x14ac:dyDescent="0.2">
      <c r="B59" t="s">
        <v>125</v>
      </c>
      <c r="C59" s="12">
        <v>15</v>
      </c>
      <c r="D59" s="8">
        <v>1.6</v>
      </c>
      <c r="E59" s="12">
        <v>9</v>
      </c>
      <c r="F59" s="8">
        <v>1.57</v>
      </c>
      <c r="G59" s="12">
        <v>6</v>
      </c>
      <c r="H59" s="8">
        <v>1.75</v>
      </c>
      <c r="I59" s="12">
        <v>0</v>
      </c>
    </row>
    <row r="60" spans="2:9" ht="15" customHeight="1" x14ac:dyDescent="0.2">
      <c r="B60" t="s">
        <v>135</v>
      </c>
      <c r="C60" s="12">
        <v>15</v>
      </c>
      <c r="D60" s="8">
        <v>1.6</v>
      </c>
      <c r="E60" s="12">
        <v>15</v>
      </c>
      <c r="F60" s="8">
        <v>2.62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186</v>
      </c>
      <c r="C61" s="12">
        <v>14</v>
      </c>
      <c r="D61" s="8">
        <v>1.49</v>
      </c>
      <c r="E61" s="12">
        <v>11</v>
      </c>
      <c r="F61" s="8">
        <v>1.92</v>
      </c>
      <c r="G61" s="12">
        <v>3</v>
      </c>
      <c r="H61" s="8">
        <v>0.88</v>
      </c>
      <c r="I61" s="12">
        <v>0</v>
      </c>
    </row>
    <row r="62" spans="2:9" ht="15" customHeight="1" x14ac:dyDescent="0.2">
      <c r="B62" t="s">
        <v>144</v>
      </c>
      <c r="C62" s="12">
        <v>14</v>
      </c>
      <c r="D62" s="8">
        <v>1.49</v>
      </c>
      <c r="E62" s="12">
        <v>6</v>
      </c>
      <c r="F62" s="8">
        <v>1.05</v>
      </c>
      <c r="G62" s="12">
        <v>7</v>
      </c>
      <c r="H62" s="8">
        <v>2.0499999999999998</v>
      </c>
      <c r="I62" s="12">
        <v>0</v>
      </c>
    </row>
    <row r="63" spans="2:9" ht="15" customHeight="1" x14ac:dyDescent="0.2">
      <c r="B63" t="s">
        <v>134</v>
      </c>
      <c r="C63" s="12">
        <v>14</v>
      </c>
      <c r="D63" s="8">
        <v>1.49</v>
      </c>
      <c r="E63" s="12">
        <v>13</v>
      </c>
      <c r="F63" s="8">
        <v>2.27</v>
      </c>
      <c r="G63" s="12">
        <v>1</v>
      </c>
      <c r="H63" s="8">
        <v>0.28999999999999998</v>
      </c>
      <c r="I63" s="12">
        <v>0</v>
      </c>
    </row>
    <row r="64" spans="2:9" ht="15" customHeight="1" x14ac:dyDescent="0.2">
      <c r="B64" t="s">
        <v>123</v>
      </c>
      <c r="C64" s="12">
        <v>13</v>
      </c>
      <c r="D64" s="8">
        <v>1.39</v>
      </c>
      <c r="E64" s="12">
        <v>7</v>
      </c>
      <c r="F64" s="8">
        <v>1.22</v>
      </c>
      <c r="G64" s="12">
        <v>6</v>
      </c>
      <c r="H64" s="8">
        <v>1.75</v>
      </c>
      <c r="I64" s="12">
        <v>0</v>
      </c>
    </row>
    <row r="65" spans="2:9" ht="15" customHeight="1" x14ac:dyDescent="0.2">
      <c r="B65" t="s">
        <v>141</v>
      </c>
      <c r="C65" s="12">
        <v>13</v>
      </c>
      <c r="D65" s="8">
        <v>1.39</v>
      </c>
      <c r="E65" s="12">
        <v>12</v>
      </c>
      <c r="F65" s="8">
        <v>2.1</v>
      </c>
      <c r="G65" s="12">
        <v>1</v>
      </c>
      <c r="H65" s="8">
        <v>0.28999999999999998</v>
      </c>
      <c r="I65" s="12">
        <v>0</v>
      </c>
    </row>
    <row r="66" spans="2:9" ht="15" customHeight="1" x14ac:dyDescent="0.2">
      <c r="B66" t="s">
        <v>126</v>
      </c>
      <c r="C66" s="12">
        <v>12</v>
      </c>
      <c r="D66" s="8">
        <v>1.28</v>
      </c>
      <c r="E66" s="12">
        <v>8</v>
      </c>
      <c r="F66" s="8">
        <v>1.4</v>
      </c>
      <c r="G66" s="12">
        <v>3</v>
      </c>
      <c r="H66" s="8">
        <v>0.88</v>
      </c>
      <c r="I66" s="12">
        <v>1</v>
      </c>
    </row>
    <row r="67" spans="2:9" ht="15" customHeight="1" x14ac:dyDescent="0.2">
      <c r="B67" t="s">
        <v>188</v>
      </c>
      <c r="C67" s="12">
        <v>12</v>
      </c>
      <c r="D67" s="8">
        <v>1.28</v>
      </c>
      <c r="E67" s="12">
        <v>9</v>
      </c>
      <c r="F67" s="8">
        <v>1.57</v>
      </c>
      <c r="G67" s="12">
        <v>3</v>
      </c>
      <c r="H67" s="8">
        <v>0.88</v>
      </c>
      <c r="I67" s="12">
        <v>0</v>
      </c>
    </row>
    <row r="68" spans="2:9" ht="15" customHeight="1" x14ac:dyDescent="0.2">
      <c r="B68" t="s">
        <v>165</v>
      </c>
      <c r="C68" s="12">
        <v>12</v>
      </c>
      <c r="D68" s="8">
        <v>1.28</v>
      </c>
      <c r="E68" s="12">
        <v>8</v>
      </c>
      <c r="F68" s="8">
        <v>1.4</v>
      </c>
      <c r="G68" s="12">
        <v>4</v>
      </c>
      <c r="H68" s="8">
        <v>1.17</v>
      </c>
      <c r="I68" s="12">
        <v>0</v>
      </c>
    </row>
    <row r="70" spans="2:9" ht="15" customHeight="1" x14ac:dyDescent="0.2">
      <c r="B70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979DD-E184-4E29-9A76-991A68E522E5}">
  <sheetPr>
    <pageSetUpPr fitToPage="1"/>
  </sheetPr>
  <dimension ref="A1:I1174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120</v>
      </c>
      <c r="B1" s="3" t="s">
        <v>212</v>
      </c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7" t="s">
        <v>72</v>
      </c>
      <c r="I1" s="7" t="s">
        <v>73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138</v>
      </c>
      <c r="C3" s="4">
        <v>5559</v>
      </c>
      <c r="D3" s="8">
        <v>4.8099999999999996</v>
      </c>
      <c r="E3" s="4">
        <v>4955</v>
      </c>
      <c r="F3" s="8">
        <v>8.27</v>
      </c>
      <c r="G3" s="4">
        <v>604</v>
      </c>
      <c r="H3" s="8">
        <v>1.1100000000000001</v>
      </c>
      <c r="I3" s="4">
        <v>0</v>
      </c>
    </row>
    <row r="4" spans="1:9" x14ac:dyDescent="0.2">
      <c r="A4" s="2">
        <v>2</v>
      </c>
      <c r="B4" s="1" t="s">
        <v>132</v>
      </c>
      <c r="C4" s="4">
        <v>4929</v>
      </c>
      <c r="D4" s="8">
        <v>4.2699999999999996</v>
      </c>
      <c r="E4" s="4">
        <v>1717</v>
      </c>
      <c r="F4" s="8">
        <v>2.86</v>
      </c>
      <c r="G4" s="4">
        <v>3203</v>
      </c>
      <c r="H4" s="8">
        <v>5.88</v>
      </c>
      <c r="I4" s="4">
        <v>5</v>
      </c>
    </row>
    <row r="5" spans="1:9" x14ac:dyDescent="0.2">
      <c r="A5" s="2">
        <v>3</v>
      </c>
      <c r="B5" s="1" t="s">
        <v>136</v>
      </c>
      <c r="C5" s="4">
        <v>3184</v>
      </c>
      <c r="D5" s="8">
        <v>2.76</v>
      </c>
      <c r="E5" s="4">
        <v>2958</v>
      </c>
      <c r="F5" s="8">
        <v>4.93</v>
      </c>
      <c r="G5" s="4">
        <v>222</v>
      </c>
      <c r="H5" s="8">
        <v>0.41</v>
      </c>
      <c r="I5" s="4">
        <v>4</v>
      </c>
    </row>
    <row r="6" spans="1:9" x14ac:dyDescent="0.2">
      <c r="A6" s="2">
        <v>4</v>
      </c>
      <c r="B6" s="1" t="s">
        <v>133</v>
      </c>
      <c r="C6" s="4">
        <v>3010</v>
      </c>
      <c r="D6" s="8">
        <v>2.61</v>
      </c>
      <c r="E6" s="4">
        <v>2509</v>
      </c>
      <c r="F6" s="8">
        <v>4.1900000000000004</v>
      </c>
      <c r="G6" s="4">
        <v>499</v>
      </c>
      <c r="H6" s="8">
        <v>0.92</v>
      </c>
      <c r="I6" s="4">
        <v>2</v>
      </c>
    </row>
    <row r="7" spans="1:9" x14ac:dyDescent="0.2">
      <c r="A7" s="2">
        <v>5</v>
      </c>
      <c r="B7" s="1" t="s">
        <v>140</v>
      </c>
      <c r="C7" s="4">
        <v>2843</v>
      </c>
      <c r="D7" s="8">
        <v>2.46</v>
      </c>
      <c r="E7" s="4">
        <v>2186</v>
      </c>
      <c r="F7" s="8">
        <v>3.65</v>
      </c>
      <c r="G7" s="4">
        <v>642</v>
      </c>
      <c r="H7" s="8">
        <v>1.18</v>
      </c>
      <c r="I7" s="4">
        <v>14</v>
      </c>
    </row>
    <row r="8" spans="1:9" x14ac:dyDescent="0.2">
      <c r="A8" s="2">
        <v>6</v>
      </c>
      <c r="B8" s="1" t="s">
        <v>141</v>
      </c>
      <c r="C8" s="4">
        <v>2824</v>
      </c>
      <c r="D8" s="8">
        <v>2.4500000000000002</v>
      </c>
      <c r="E8" s="4">
        <v>2515</v>
      </c>
      <c r="F8" s="8">
        <v>4.2</v>
      </c>
      <c r="G8" s="4">
        <v>307</v>
      </c>
      <c r="H8" s="8">
        <v>0.56000000000000005</v>
      </c>
      <c r="I8" s="4">
        <v>2</v>
      </c>
    </row>
    <row r="9" spans="1:9" x14ac:dyDescent="0.2">
      <c r="A9" s="2">
        <v>7</v>
      </c>
      <c r="B9" s="1" t="s">
        <v>137</v>
      </c>
      <c r="C9" s="4">
        <v>2746</v>
      </c>
      <c r="D9" s="8">
        <v>2.38</v>
      </c>
      <c r="E9" s="4">
        <v>2600</v>
      </c>
      <c r="F9" s="8">
        <v>4.34</v>
      </c>
      <c r="G9" s="4">
        <v>146</v>
      </c>
      <c r="H9" s="8">
        <v>0.27</v>
      </c>
      <c r="I9" s="4">
        <v>0</v>
      </c>
    </row>
    <row r="10" spans="1:9" x14ac:dyDescent="0.2">
      <c r="A10" s="2">
        <v>8</v>
      </c>
      <c r="B10" s="1" t="s">
        <v>134</v>
      </c>
      <c r="C10" s="4">
        <v>2567</v>
      </c>
      <c r="D10" s="8">
        <v>2.2200000000000002</v>
      </c>
      <c r="E10" s="4">
        <v>2366</v>
      </c>
      <c r="F10" s="8">
        <v>3.95</v>
      </c>
      <c r="G10" s="4">
        <v>201</v>
      </c>
      <c r="H10" s="8">
        <v>0.37</v>
      </c>
      <c r="I10" s="4">
        <v>0</v>
      </c>
    </row>
    <row r="11" spans="1:9" x14ac:dyDescent="0.2">
      <c r="A11" s="2">
        <v>9</v>
      </c>
      <c r="B11" s="1" t="s">
        <v>129</v>
      </c>
      <c r="C11" s="4">
        <v>2523</v>
      </c>
      <c r="D11" s="8">
        <v>2.1800000000000002</v>
      </c>
      <c r="E11" s="4">
        <v>1725</v>
      </c>
      <c r="F11" s="8">
        <v>2.88</v>
      </c>
      <c r="G11" s="4">
        <v>795</v>
      </c>
      <c r="H11" s="8">
        <v>1.46</v>
      </c>
      <c r="I11" s="4">
        <v>3</v>
      </c>
    </row>
    <row r="12" spans="1:9" x14ac:dyDescent="0.2">
      <c r="A12" s="2">
        <v>10</v>
      </c>
      <c r="B12" s="1" t="s">
        <v>135</v>
      </c>
      <c r="C12" s="4">
        <v>2410</v>
      </c>
      <c r="D12" s="8">
        <v>2.09</v>
      </c>
      <c r="E12" s="4">
        <v>2336</v>
      </c>
      <c r="F12" s="8">
        <v>3.9</v>
      </c>
      <c r="G12" s="4">
        <v>74</v>
      </c>
      <c r="H12" s="8">
        <v>0.14000000000000001</v>
      </c>
      <c r="I12" s="4">
        <v>0</v>
      </c>
    </row>
    <row r="13" spans="1:9" x14ac:dyDescent="0.2">
      <c r="A13" s="2">
        <v>11</v>
      </c>
      <c r="B13" s="1" t="s">
        <v>122</v>
      </c>
      <c r="C13" s="4">
        <v>2402</v>
      </c>
      <c r="D13" s="8">
        <v>2.08</v>
      </c>
      <c r="E13" s="4">
        <v>498</v>
      </c>
      <c r="F13" s="8">
        <v>0.83</v>
      </c>
      <c r="G13" s="4">
        <v>1904</v>
      </c>
      <c r="H13" s="8">
        <v>3.49</v>
      </c>
      <c r="I13" s="4">
        <v>0</v>
      </c>
    </row>
    <row r="14" spans="1:9" x14ac:dyDescent="0.2">
      <c r="A14" s="2">
        <v>12</v>
      </c>
      <c r="B14" s="1" t="s">
        <v>127</v>
      </c>
      <c r="C14" s="4">
        <v>1853</v>
      </c>
      <c r="D14" s="8">
        <v>1.6</v>
      </c>
      <c r="E14" s="4">
        <v>1156</v>
      </c>
      <c r="F14" s="8">
        <v>1.93</v>
      </c>
      <c r="G14" s="4">
        <v>697</v>
      </c>
      <c r="H14" s="8">
        <v>1.28</v>
      </c>
      <c r="I14" s="4">
        <v>0</v>
      </c>
    </row>
    <row r="15" spans="1:9" x14ac:dyDescent="0.2">
      <c r="A15" s="2">
        <v>13</v>
      </c>
      <c r="B15" s="1" t="s">
        <v>131</v>
      </c>
      <c r="C15" s="4">
        <v>1782</v>
      </c>
      <c r="D15" s="8">
        <v>1.54</v>
      </c>
      <c r="E15" s="4">
        <v>221</v>
      </c>
      <c r="F15" s="8">
        <v>0.37</v>
      </c>
      <c r="G15" s="4">
        <v>1557</v>
      </c>
      <c r="H15" s="8">
        <v>2.86</v>
      </c>
      <c r="I15" s="4">
        <v>4</v>
      </c>
    </row>
    <row r="16" spans="1:9" x14ac:dyDescent="0.2">
      <c r="A16" s="2">
        <v>14</v>
      </c>
      <c r="B16" s="1" t="s">
        <v>126</v>
      </c>
      <c r="C16" s="4">
        <v>1747</v>
      </c>
      <c r="D16" s="8">
        <v>1.51</v>
      </c>
      <c r="E16" s="4">
        <v>1156</v>
      </c>
      <c r="F16" s="8">
        <v>1.93</v>
      </c>
      <c r="G16" s="4">
        <v>582</v>
      </c>
      <c r="H16" s="8">
        <v>1.07</v>
      </c>
      <c r="I16" s="4">
        <v>9</v>
      </c>
    </row>
    <row r="17" spans="1:9" x14ac:dyDescent="0.2">
      <c r="A17" s="2">
        <v>15</v>
      </c>
      <c r="B17" s="1" t="s">
        <v>130</v>
      </c>
      <c r="C17" s="4">
        <v>1650</v>
      </c>
      <c r="D17" s="8">
        <v>1.43</v>
      </c>
      <c r="E17" s="4">
        <v>315</v>
      </c>
      <c r="F17" s="8">
        <v>0.53</v>
      </c>
      <c r="G17" s="4">
        <v>1335</v>
      </c>
      <c r="H17" s="8">
        <v>2.4500000000000002</v>
      </c>
      <c r="I17" s="4">
        <v>0</v>
      </c>
    </row>
    <row r="18" spans="1:9" x14ac:dyDescent="0.2">
      <c r="A18" s="2">
        <v>16</v>
      </c>
      <c r="B18" s="1" t="s">
        <v>125</v>
      </c>
      <c r="C18" s="4">
        <v>1645</v>
      </c>
      <c r="D18" s="8">
        <v>1.42</v>
      </c>
      <c r="E18" s="4">
        <v>823</v>
      </c>
      <c r="F18" s="8">
        <v>1.37</v>
      </c>
      <c r="G18" s="4">
        <v>822</v>
      </c>
      <c r="H18" s="8">
        <v>1.51</v>
      </c>
      <c r="I18" s="4">
        <v>0</v>
      </c>
    </row>
    <row r="19" spans="1:9" x14ac:dyDescent="0.2">
      <c r="A19" s="2">
        <v>17</v>
      </c>
      <c r="B19" s="1" t="s">
        <v>123</v>
      </c>
      <c r="C19" s="4">
        <v>1575</v>
      </c>
      <c r="D19" s="8">
        <v>1.36</v>
      </c>
      <c r="E19" s="4">
        <v>333</v>
      </c>
      <c r="F19" s="8">
        <v>0.56000000000000005</v>
      </c>
      <c r="G19" s="4">
        <v>1242</v>
      </c>
      <c r="H19" s="8">
        <v>2.2799999999999998</v>
      </c>
      <c r="I19" s="4">
        <v>0</v>
      </c>
    </row>
    <row r="20" spans="1:9" x14ac:dyDescent="0.2">
      <c r="A20" s="2">
        <v>18</v>
      </c>
      <c r="B20" s="1" t="s">
        <v>124</v>
      </c>
      <c r="C20" s="4">
        <v>1528</v>
      </c>
      <c r="D20" s="8">
        <v>1.32</v>
      </c>
      <c r="E20" s="4">
        <v>542</v>
      </c>
      <c r="F20" s="8">
        <v>0.9</v>
      </c>
      <c r="G20" s="4">
        <v>986</v>
      </c>
      <c r="H20" s="8">
        <v>1.81</v>
      </c>
      <c r="I20" s="4">
        <v>0</v>
      </c>
    </row>
    <row r="21" spans="1:9" x14ac:dyDescent="0.2">
      <c r="A21" s="2">
        <v>19</v>
      </c>
      <c r="B21" s="1" t="s">
        <v>139</v>
      </c>
      <c r="C21" s="4">
        <v>1499</v>
      </c>
      <c r="D21" s="8">
        <v>1.3</v>
      </c>
      <c r="E21" s="4">
        <v>1098</v>
      </c>
      <c r="F21" s="8">
        <v>1.83</v>
      </c>
      <c r="G21" s="4">
        <v>400</v>
      </c>
      <c r="H21" s="8">
        <v>0.73</v>
      </c>
      <c r="I21" s="4">
        <v>1</v>
      </c>
    </row>
    <row r="22" spans="1:9" x14ac:dyDescent="0.2">
      <c r="A22" s="2">
        <v>20</v>
      </c>
      <c r="B22" s="1" t="s">
        <v>128</v>
      </c>
      <c r="C22" s="4">
        <v>1452</v>
      </c>
      <c r="D22" s="8">
        <v>1.26</v>
      </c>
      <c r="E22" s="4">
        <v>578</v>
      </c>
      <c r="F22" s="8">
        <v>0.96</v>
      </c>
      <c r="G22" s="4">
        <v>873</v>
      </c>
      <c r="H22" s="8">
        <v>1.6</v>
      </c>
      <c r="I22" s="4">
        <v>1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132</v>
      </c>
      <c r="C25" s="4">
        <v>1644</v>
      </c>
      <c r="D25" s="8">
        <v>4.84</v>
      </c>
      <c r="E25" s="4">
        <v>488</v>
      </c>
      <c r="F25" s="8">
        <v>3.07</v>
      </c>
      <c r="G25" s="4">
        <v>1156</v>
      </c>
      <c r="H25" s="8">
        <v>6.42</v>
      </c>
      <c r="I25" s="4">
        <v>0</v>
      </c>
    </row>
    <row r="26" spans="1:9" x14ac:dyDescent="0.2">
      <c r="A26" s="2">
        <v>2</v>
      </c>
      <c r="B26" s="1" t="s">
        <v>138</v>
      </c>
      <c r="C26" s="4">
        <v>1313</v>
      </c>
      <c r="D26" s="8">
        <v>3.86</v>
      </c>
      <c r="E26" s="4">
        <v>1152</v>
      </c>
      <c r="F26" s="8">
        <v>7.26</v>
      </c>
      <c r="G26" s="4">
        <v>161</v>
      </c>
      <c r="H26" s="8">
        <v>0.89</v>
      </c>
      <c r="I26" s="4">
        <v>0</v>
      </c>
    </row>
    <row r="27" spans="1:9" x14ac:dyDescent="0.2">
      <c r="A27" s="2">
        <v>3</v>
      </c>
      <c r="B27" s="1" t="s">
        <v>133</v>
      </c>
      <c r="C27" s="4">
        <v>1173</v>
      </c>
      <c r="D27" s="8">
        <v>3.45</v>
      </c>
      <c r="E27" s="4">
        <v>949</v>
      </c>
      <c r="F27" s="8">
        <v>5.98</v>
      </c>
      <c r="G27" s="4">
        <v>224</v>
      </c>
      <c r="H27" s="8">
        <v>1.24</v>
      </c>
      <c r="I27" s="4">
        <v>0</v>
      </c>
    </row>
    <row r="28" spans="1:9" x14ac:dyDescent="0.2">
      <c r="A28" s="2">
        <v>4</v>
      </c>
      <c r="B28" s="1" t="s">
        <v>135</v>
      </c>
      <c r="C28" s="4">
        <v>1019</v>
      </c>
      <c r="D28" s="8">
        <v>3</v>
      </c>
      <c r="E28" s="4">
        <v>976</v>
      </c>
      <c r="F28" s="8">
        <v>6.15</v>
      </c>
      <c r="G28" s="4">
        <v>43</v>
      </c>
      <c r="H28" s="8">
        <v>0.24</v>
      </c>
      <c r="I28" s="4">
        <v>0</v>
      </c>
    </row>
    <row r="29" spans="1:9" x14ac:dyDescent="0.2">
      <c r="A29" s="2">
        <v>5</v>
      </c>
      <c r="B29" s="1" t="s">
        <v>136</v>
      </c>
      <c r="C29" s="4">
        <v>951</v>
      </c>
      <c r="D29" s="8">
        <v>2.8</v>
      </c>
      <c r="E29" s="4">
        <v>861</v>
      </c>
      <c r="F29" s="8">
        <v>5.42</v>
      </c>
      <c r="G29" s="4">
        <v>90</v>
      </c>
      <c r="H29" s="8">
        <v>0.5</v>
      </c>
      <c r="I29" s="4">
        <v>0</v>
      </c>
    </row>
    <row r="30" spans="1:9" x14ac:dyDescent="0.2">
      <c r="A30" s="2">
        <v>6</v>
      </c>
      <c r="B30" s="1" t="s">
        <v>134</v>
      </c>
      <c r="C30" s="4">
        <v>861</v>
      </c>
      <c r="D30" s="8">
        <v>2.5299999999999998</v>
      </c>
      <c r="E30" s="4">
        <v>774</v>
      </c>
      <c r="F30" s="8">
        <v>4.88</v>
      </c>
      <c r="G30" s="4">
        <v>87</v>
      </c>
      <c r="H30" s="8">
        <v>0.48</v>
      </c>
      <c r="I30" s="4">
        <v>0</v>
      </c>
    </row>
    <row r="31" spans="1:9" x14ac:dyDescent="0.2">
      <c r="A31" s="2">
        <v>7</v>
      </c>
      <c r="B31" s="1" t="s">
        <v>141</v>
      </c>
      <c r="C31" s="4">
        <v>818</v>
      </c>
      <c r="D31" s="8">
        <v>2.41</v>
      </c>
      <c r="E31" s="4">
        <v>706</v>
      </c>
      <c r="F31" s="8">
        <v>4.45</v>
      </c>
      <c r="G31" s="4">
        <v>111</v>
      </c>
      <c r="H31" s="8">
        <v>0.62</v>
      </c>
      <c r="I31" s="4">
        <v>1</v>
      </c>
    </row>
    <row r="32" spans="1:9" x14ac:dyDescent="0.2">
      <c r="A32" s="2">
        <v>8</v>
      </c>
      <c r="B32" s="1" t="s">
        <v>140</v>
      </c>
      <c r="C32" s="4">
        <v>792</v>
      </c>
      <c r="D32" s="8">
        <v>2.33</v>
      </c>
      <c r="E32" s="4">
        <v>576</v>
      </c>
      <c r="F32" s="8">
        <v>3.63</v>
      </c>
      <c r="G32" s="4">
        <v>207</v>
      </c>
      <c r="H32" s="8">
        <v>1.1499999999999999</v>
      </c>
      <c r="I32" s="4">
        <v>9</v>
      </c>
    </row>
    <row r="33" spans="1:9" x14ac:dyDescent="0.2">
      <c r="A33" s="2">
        <v>9</v>
      </c>
      <c r="B33" s="1" t="s">
        <v>129</v>
      </c>
      <c r="C33" s="4">
        <v>765</v>
      </c>
      <c r="D33" s="8">
        <v>2.25</v>
      </c>
      <c r="E33" s="4">
        <v>468</v>
      </c>
      <c r="F33" s="8">
        <v>2.95</v>
      </c>
      <c r="G33" s="4">
        <v>295</v>
      </c>
      <c r="H33" s="8">
        <v>1.64</v>
      </c>
      <c r="I33" s="4">
        <v>2</v>
      </c>
    </row>
    <row r="34" spans="1:9" x14ac:dyDescent="0.2">
      <c r="A34" s="2">
        <v>10</v>
      </c>
      <c r="B34" s="1" t="s">
        <v>137</v>
      </c>
      <c r="C34" s="4">
        <v>658</v>
      </c>
      <c r="D34" s="8">
        <v>1.94</v>
      </c>
      <c r="E34" s="4">
        <v>600</v>
      </c>
      <c r="F34" s="8">
        <v>3.78</v>
      </c>
      <c r="G34" s="4">
        <v>58</v>
      </c>
      <c r="H34" s="8">
        <v>0.32</v>
      </c>
      <c r="I34" s="4">
        <v>0</v>
      </c>
    </row>
    <row r="35" spans="1:9" x14ac:dyDescent="0.2">
      <c r="A35" s="2">
        <v>11</v>
      </c>
      <c r="B35" s="1" t="s">
        <v>131</v>
      </c>
      <c r="C35" s="4">
        <v>652</v>
      </c>
      <c r="D35" s="8">
        <v>1.92</v>
      </c>
      <c r="E35" s="4">
        <v>81</v>
      </c>
      <c r="F35" s="8">
        <v>0.51</v>
      </c>
      <c r="G35" s="4">
        <v>571</v>
      </c>
      <c r="H35" s="8">
        <v>3.17</v>
      </c>
      <c r="I35" s="4">
        <v>0</v>
      </c>
    </row>
    <row r="36" spans="1:9" x14ac:dyDescent="0.2">
      <c r="A36" s="2">
        <v>12</v>
      </c>
      <c r="B36" s="1" t="s">
        <v>130</v>
      </c>
      <c r="C36" s="4">
        <v>601</v>
      </c>
      <c r="D36" s="8">
        <v>1.77</v>
      </c>
      <c r="E36" s="4">
        <v>95</v>
      </c>
      <c r="F36" s="8">
        <v>0.6</v>
      </c>
      <c r="G36" s="4">
        <v>506</v>
      </c>
      <c r="H36" s="8">
        <v>2.81</v>
      </c>
      <c r="I36" s="4">
        <v>0</v>
      </c>
    </row>
    <row r="37" spans="1:9" x14ac:dyDescent="0.2">
      <c r="A37" s="2">
        <v>13</v>
      </c>
      <c r="B37" s="1" t="s">
        <v>125</v>
      </c>
      <c r="C37" s="4">
        <v>574</v>
      </c>
      <c r="D37" s="8">
        <v>1.69</v>
      </c>
      <c r="E37" s="4">
        <v>253</v>
      </c>
      <c r="F37" s="8">
        <v>1.59</v>
      </c>
      <c r="G37" s="4">
        <v>321</v>
      </c>
      <c r="H37" s="8">
        <v>1.78</v>
      </c>
      <c r="I37" s="4">
        <v>0</v>
      </c>
    </row>
    <row r="38" spans="1:9" x14ac:dyDescent="0.2">
      <c r="A38" s="2">
        <v>14</v>
      </c>
      <c r="B38" s="1" t="s">
        <v>126</v>
      </c>
      <c r="C38" s="4">
        <v>561</v>
      </c>
      <c r="D38" s="8">
        <v>1.65</v>
      </c>
      <c r="E38" s="4">
        <v>332</v>
      </c>
      <c r="F38" s="8">
        <v>2.09</v>
      </c>
      <c r="G38" s="4">
        <v>229</v>
      </c>
      <c r="H38" s="8">
        <v>1.27</v>
      </c>
      <c r="I38" s="4">
        <v>0</v>
      </c>
    </row>
    <row r="39" spans="1:9" x14ac:dyDescent="0.2">
      <c r="A39" s="2">
        <v>15</v>
      </c>
      <c r="B39" s="1" t="s">
        <v>144</v>
      </c>
      <c r="C39" s="4">
        <v>463</v>
      </c>
      <c r="D39" s="8">
        <v>1.36</v>
      </c>
      <c r="E39" s="4">
        <v>138</v>
      </c>
      <c r="F39" s="8">
        <v>0.87</v>
      </c>
      <c r="G39" s="4">
        <v>320</v>
      </c>
      <c r="H39" s="8">
        <v>1.78</v>
      </c>
      <c r="I39" s="4">
        <v>0</v>
      </c>
    </row>
    <row r="40" spans="1:9" x14ac:dyDescent="0.2">
      <c r="A40" s="2">
        <v>16</v>
      </c>
      <c r="B40" s="1" t="s">
        <v>143</v>
      </c>
      <c r="C40" s="4">
        <v>460</v>
      </c>
      <c r="D40" s="8">
        <v>1.35</v>
      </c>
      <c r="E40" s="4">
        <v>31</v>
      </c>
      <c r="F40" s="8">
        <v>0.2</v>
      </c>
      <c r="G40" s="4">
        <v>423</v>
      </c>
      <c r="H40" s="8">
        <v>2.35</v>
      </c>
      <c r="I40" s="4">
        <v>6</v>
      </c>
    </row>
    <row r="41" spans="1:9" x14ac:dyDescent="0.2">
      <c r="A41" s="2">
        <v>17</v>
      </c>
      <c r="B41" s="1" t="s">
        <v>145</v>
      </c>
      <c r="C41" s="4">
        <v>409</v>
      </c>
      <c r="D41" s="8">
        <v>1.2</v>
      </c>
      <c r="E41" s="4">
        <v>380</v>
      </c>
      <c r="F41" s="8">
        <v>2.39</v>
      </c>
      <c r="G41" s="4">
        <v>29</v>
      </c>
      <c r="H41" s="8">
        <v>0.16</v>
      </c>
      <c r="I41" s="4">
        <v>0</v>
      </c>
    </row>
    <row r="42" spans="1:9" x14ac:dyDescent="0.2">
      <c r="A42" s="2">
        <v>18</v>
      </c>
      <c r="B42" s="1" t="s">
        <v>128</v>
      </c>
      <c r="C42" s="4">
        <v>396</v>
      </c>
      <c r="D42" s="8">
        <v>1.17</v>
      </c>
      <c r="E42" s="4">
        <v>127</v>
      </c>
      <c r="F42" s="8">
        <v>0.8</v>
      </c>
      <c r="G42" s="4">
        <v>268</v>
      </c>
      <c r="H42" s="8">
        <v>1.49</v>
      </c>
      <c r="I42" s="4">
        <v>1</v>
      </c>
    </row>
    <row r="43" spans="1:9" x14ac:dyDescent="0.2">
      <c r="A43" s="2">
        <v>19</v>
      </c>
      <c r="B43" s="1" t="s">
        <v>146</v>
      </c>
      <c r="C43" s="4">
        <v>394</v>
      </c>
      <c r="D43" s="8">
        <v>1.1599999999999999</v>
      </c>
      <c r="E43" s="4">
        <v>202</v>
      </c>
      <c r="F43" s="8">
        <v>1.27</v>
      </c>
      <c r="G43" s="4">
        <v>192</v>
      </c>
      <c r="H43" s="8">
        <v>1.07</v>
      </c>
      <c r="I43" s="4">
        <v>0</v>
      </c>
    </row>
    <row r="44" spans="1:9" x14ac:dyDescent="0.2">
      <c r="A44" s="2">
        <v>20</v>
      </c>
      <c r="B44" s="1" t="s">
        <v>142</v>
      </c>
      <c r="C44" s="4">
        <v>386</v>
      </c>
      <c r="D44" s="8">
        <v>1.1399999999999999</v>
      </c>
      <c r="E44" s="4">
        <v>210</v>
      </c>
      <c r="F44" s="8">
        <v>1.32</v>
      </c>
      <c r="G44" s="4">
        <v>175</v>
      </c>
      <c r="H44" s="8">
        <v>0.97</v>
      </c>
      <c r="I44" s="4">
        <v>1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132</v>
      </c>
      <c r="C47" s="4">
        <v>245</v>
      </c>
      <c r="D47" s="8">
        <v>6.43</v>
      </c>
      <c r="E47" s="4">
        <v>32</v>
      </c>
      <c r="F47" s="8">
        <v>2.08</v>
      </c>
      <c r="G47" s="4">
        <v>213</v>
      </c>
      <c r="H47" s="8">
        <v>9.4600000000000009</v>
      </c>
      <c r="I47" s="4">
        <v>0</v>
      </c>
    </row>
    <row r="48" spans="1:9" x14ac:dyDescent="0.2">
      <c r="A48" s="2">
        <v>2</v>
      </c>
      <c r="B48" s="1" t="s">
        <v>138</v>
      </c>
      <c r="C48" s="4">
        <v>182</v>
      </c>
      <c r="D48" s="8">
        <v>4.78</v>
      </c>
      <c r="E48" s="4">
        <v>155</v>
      </c>
      <c r="F48" s="8">
        <v>10.1</v>
      </c>
      <c r="G48" s="4">
        <v>27</v>
      </c>
      <c r="H48" s="8">
        <v>1.2</v>
      </c>
      <c r="I48" s="4">
        <v>0</v>
      </c>
    </row>
    <row r="49" spans="1:9" x14ac:dyDescent="0.2">
      <c r="A49" s="2">
        <v>3</v>
      </c>
      <c r="B49" s="1" t="s">
        <v>140</v>
      </c>
      <c r="C49" s="4">
        <v>141</v>
      </c>
      <c r="D49" s="8">
        <v>3.7</v>
      </c>
      <c r="E49" s="4">
        <v>94</v>
      </c>
      <c r="F49" s="8">
        <v>6.12</v>
      </c>
      <c r="G49" s="4">
        <v>45</v>
      </c>
      <c r="H49" s="8">
        <v>2</v>
      </c>
      <c r="I49" s="4">
        <v>2</v>
      </c>
    </row>
    <row r="50" spans="1:9" x14ac:dyDescent="0.2">
      <c r="A50" s="2">
        <v>4</v>
      </c>
      <c r="B50" s="1" t="s">
        <v>141</v>
      </c>
      <c r="C50" s="4">
        <v>123</v>
      </c>
      <c r="D50" s="8">
        <v>3.23</v>
      </c>
      <c r="E50" s="4">
        <v>103</v>
      </c>
      <c r="F50" s="8">
        <v>6.71</v>
      </c>
      <c r="G50" s="4">
        <v>20</v>
      </c>
      <c r="H50" s="8">
        <v>0.89</v>
      </c>
      <c r="I50" s="4">
        <v>0</v>
      </c>
    </row>
    <row r="51" spans="1:9" x14ac:dyDescent="0.2">
      <c r="A51" s="2">
        <v>5</v>
      </c>
      <c r="B51" s="1" t="s">
        <v>133</v>
      </c>
      <c r="C51" s="4">
        <v>93</v>
      </c>
      <c r="D51" s="8">
        <v>2.44</v>
      </c>
      <c r="E51" s="4">
        <v>76</v>
      </c>
      <c r="F51" s="8">
        <v>4.95</v>
      </c>
      <c r="G51" s="4">
        <v>17</v>
      </c>
      <c r="H51" s="8">
        <v>0.76</v>
      </c>
      <c r="I51" s="4">
        <v>0</v>
      </c>
    </row>
    <row r="52" spans="1:9" x14ac:dyDescent="0.2">
      <c r="A52" s="2">
        <v>5</v>
      </c>
      <c r="B52" s="1" t="s">
        <v>134</v>
      </c>
      <c r="C52" s="4">
        <v>93</v>
      </c>
      <c r="D52" s="8">
        <v>2.44</v>
      </c>
      <c r="E52" s="4">
        <v>81</v>
      </c>
      <c r="F52" s="8">
        <v>5.28</v>
      </c>
      <c r="G52" s="4">
        <v>12</v>
      </c>
      <c r="H52" s="8">
        <v>0.53</v>
      </c>
      <c r="I52" s="4">
        <v>0</v>
      </c>
    </row>
    <row r="53" spans="1:9" x14ac:dyDescent="0.2">
      <c r="A53" s="2">
        <v>7</v>
      </c>
      <c r="B53" s="1" t="s">
        <v>136</v>
      </c>
      <c r="C53" s="4">
        <v>90</v>
      </c>
      <c r="D53" s="8">
        <v>2.36</v>
      </c>
      <c r="E53" s="4">
        <v>78</v>
      </c>
      <c r="F53" s="8">
        <v>5.08</v>
      </c>
      <c r="G53" s="4">
        <v>12</v>
      </c>
      <c r="H53" s="8">
        <v>0.53</v>
      </c>
      <c r="I53" s="4">
        <v>0</v>
      </c>
    </row>
    <row r="54" spans="1:9" x14ac:dyDescent="0.2">
      <c r="A54" s="2">
        <v>8</v>
      </c>
      <c r="B54" s="1" t="s">
        <v>129</v>
      </c>
      <c r="C54" s="4">
        <v>81</v>
      </c>
      <c r="D54" s="8">
        <v>2.13</v>
      </c>
      <c r="E54" s="4">
        <v>53</v>
      </c>
      <c r="F54" s="8">
        <v>3.45</v>
      </c>
      <c r="G54" s="4">
        <v>27</v>
      </c>
      <c r="H54" s="8">
        <v>1.2</v>
      </c>
      <c r="I54" s="4">
        <v>1</v>
      </c>
    </row>
    <row r="55" spans="1:9" x14ac:dyDescent="0.2">
      <c r="A55" s="2">
        <v>9</v>
      </c>
      <c r="B55" s="1" t="s">
        <v>130</v>
      </c>
      <c r="C55" s="4">
        <v>79</v>
      </c>
      <c r="D55" s="8">
        <v>2.0699999999999998</v>
      </c>
      <c r="E55" s="4">
        <v>17</v>
      </c>
      <c r="F55" s="8">
        <v>1.1100000000000001</v>
      </c>
      <c r="G55" s="4">
        <v>62</v>
      </c>
      <c r="H55" s="8">
        <v>2.75</v>
      </c>
      <c r="I55" s="4">
        <v>0</v>
      </c>
    </row>
    <row r="56" spans="1:9" x14ac:dyDescent="0.2">
      <c r="A56" s="2">
        <v>10</v>
      </c>
      <c r="B56" s="1" t="s">
        <v>131</v>
      </c>
      <c r="C56" s="4">
        <v>70</v>
      </c>
      <c r="D56" s="8">
        <v>1.84</v>
      </c>
      <c r="E56" s="4">
        <v>5</v>
      </c>
      <c r="F56" s="8">
        <v>0.33</v>
      </c>
      <c r="G56" s="4">
        <v>65</v>
      </c>
      <c r="H56" s="8">
        <v>2.89</v>
      </c>
      <c r="I56" s="4">
        <v>0</v>
      </c>
    </row>
    <row r="57" spans="1:9" x14ac:dyDescent="0.2">
      <c r="A57" s="2">
        <v>11</v>
      </c>
      <c r="B57" s="1" t="s">
        <v>137</v>
      </c>
      <c r="C57" s="4">
        <v>66</v>
      </c>
      <c r="D57" s="8">
        <v>1.73</v>
      </c>
      <c r="E57" s="4">
        <v>53</v>
      </c>
      <c r="F57" s="8">
        <v>3.45</v>
      </c>
      <c r="G57" s="4">
        <v>13</v>
      </c>
      <c r="H57" s="8">
        <v>0.57999999999999996</v>
      </c>
      <c r="I57" s="4">
        <v>0</v>
      </c>
    </row>
    <row r="58" spans="1:9" x14ac:dyDescent="0.2">
      <c r="A58" s="2">
        <v>12</v>
      </c>
      <c r="B58" s="1" t="s">
        <v>146</v>
      </c>
      <c r="C58" s="4">
        <v>62</v>
      </c>
      <c r="D58" s="8">
        <v>1.63</v>
      </c>
      <c r="E58" s="4">
        <v>20</v>
      </c>
      <c r="F58" s="8">
        <v>1.3</v>
      </c>
      <c r="G58" s="4">
        <v>42</v>
      </c>
      <c r="H58" s="8">
        <v>1.87</v>
      </c>
      <c r="I58" s="4">
        <v>0</v>
      </c>
    </row>
    <row r="59" spans="1:9" x14ac:dyDescent="0.2">
      <c r="A59" s="2">
        <v>13</v>
      </c>
      <c r="B59" s="1" t="s">
        <v>139</v>
      </c>
      <c r="C59" s="4">
        <v>59</v>
      </c>
      <c r="D59" s="8">
        <v>1.55</v>
      </c>
      <c r="E59" s="4">
        <v>30</v>
      </c>
      <c r="F59" s="8">
        <v>1.95</v>
      </c>
      <c r="G59" s="4">
        <v>29</v>
      </c>
      <c r="H59" s="8">
        <v>1.29</v>
      </c>
      <c r="I59" s="4">
        <v>0</v>
      </c>
    </row>
    <row r="60" spans="1:9" x14ac:dyDescent="0.2">
      <c r="A60" s="2">
        <v>14</v>
      </c>
      <c r="B60" s="1" t="s">
        <v>143</v>
      </c>
      <c r="C60" s="4">
        <v>56</v>
      </c>
      <c r="D60" s="8">
        <v>1.47</v>
      </c>
      <c r="E60" s="4">
        <v>2</v>
      </c>
      <c r="F60" s="8">
        <v>0.13</v>
      </c>
      <c r="G60" s="4">
        <v>54</v>
      </c>
      <c r="H60" s="8">
        <v>2.4</v>
      </c>
      <c r="I60" s="4">
        <v>0</v>
      </c>
    </row>
    <row r="61" spans="1:9" x14ac:dyDescent="0.2">
      <c r="A61" s="2">
        <v>14</v>
      </c>
      <c r="B61" s="1" t="s">
        <v>148</v>
      </c>
      <c r="C61" s="4">
        <v>56</v>
      </c>
      <c r="D61" s="8">
        <v>1.47</v>
      </c>
      <c r="E61" s="4">
        <v>3</v>
      </c>
      <c r="F61" s="8">
        <v>0.2</v>
      </c>
      <c r="G61" s="4">
        <v>53</v>
      </c>
      <c r="H61" s="8">
        <v>2.35</v>
      </c>
      <c r="I61" s="4">
        <v>0</v>
      </c>
    </row>
    <row r="62" spans="1:9" x14ac:dyDescent="0.2">
      <c r="A62" s="2">
        <v>16</v>
      </c>
      <c r="B62" s="1" t="s">
        <v>147</v>
      </c>
      <c r="C62" s="4">
        <v>55</v>
      </c>
      <c r="D62" s="8">
        <v>1.44</v>
      </c>
      <c r="E62" s="4">
        <v>2</v>
      </c>
      <c r="F62" s="8">
        <v>0.13</v>
      </c>
      <c r="G62" s="4">
        <v>53</v>
      </c>
      <c r="H62" s="8">
        <v>2.35</v>
      </c>
      <c r="I62" s="4">
        <v>0</v>
      </c>
    </row>
    <row r="63" spans="1:9" x14ac:dyDescent="0.2">
      <c r="A63" s="2">
        <v>16</v>
      </c>
      <c r="B63" s="1" t="s">
        <v>144</v>
      </c>
      <c r="C63" s="4">
        <v>55</v>
      </c>
      <c r="D63" s="8">
        <v>1.44</v>
      </c>
      <c r="E63" s="4">
        <v>15</v>
      </c>
      <c r="F63" s="8">
        <v>0.98</v>
      </c>
      <c r="G63" s="4">
        <v>38</v>
      </c>
      <c r="H63" s="8">
        <v>1.69</v>
      </c>
      <c r="I63" s="4">
        <v>0</v>
      </c>
    </row>
    <row r="64" spans="1:9" x14ac:dyDescent="0.2">
      <c r="A64" s="2">
        <v>16</v>
      </c>
      <c r="B64" s="1" t="s">
        <v>149</v>
      </c>
      <c r="C64" s="4">
        <v>55</v>
      </c>
      <c r="D64" s="8">
        <v>1.44</v>
      </c>
      <c r="E64" s="4">
        <v>4</v>
      </c>
      <c r="F64" s="8">
        <v>0.26</v>
      </c>
      <c r="G64" s="4">
        <v>51</v>
      </c>
      <c r="H64" s="8">
        <v>2.27</v>
      </c>
      <c r="I64" s="4">
        <v>0</v>
      </c>
    </row>
    <row r="65" spans="1:9" x14ac:dyDescent="0.2">
      <c r="A65" s="2">
        <v>19</v>
      </c>
      <c r="B65" s="1" t="s">
        <v>123</v>
      </c>
      <c r="C65" s="4">
        <v>51</v>
      </c>
      <c r="D65" s="8">
        <v>1.34</v>
      </c>
      <c r="E65" s="4">
        <v>7</v>
      </c>
      <c r="F65" s="8">
        <v>0.46</v>
      </c>
      <c r="G65" s="4">
        <v>44</v>
      </c>
      <c r="H65" s="8">
        <v>1.95</v>
      </c>
      <c r="I65" s="4">
        <v>0</v>
      </c>
    </row>
    <row r="66" spans="1:9" x14ac:dyDescent="0.2">
      <c r="A66" s="2">
        <v>20</v>
      </c>
      <c r="B66" s="1" t="s">
        <v>125</v>
      </c>
      <c r="C66" s="4">
        <v>49</v>
      </c>
      <c r="D66" s="8">
        <v>1.29</v>
      </c>
      <c r="E66" s="4">
        <v>26</v>
      </c>
      <c r="F66" s="8">
        <v>1.69</v>
      </c>
      <c r="G66" s="4">
        <v>23</v>
      </c>
      <c r="H66" s="8">
        <v>1.02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132</v>
      </c>
      <c r="C69" s="4">
        <v>165</v>
      </c>
      <c r="D69" s="8">
        <v>5.67</v>
      </c>
      <c r="E69" s="4">
        <v>44</v>
      </c>
      <c r="F69" s="8">
        <v>3.01</v>
      </c>
      <c r="G69" s="4">
        <v>121</v>
      </c>
      <c r="H69" s="8">
        <v>8.3699999999999992</v>
      </c>
      <c r="I69" s="4">
        <v>0</v>
      </c>
    </row>
    <row r="70" spans="1:9" x14ac:dyDescent="0.2">
      <c r="A70" s="2">
        <v>2</v>
      </c>
      <c r="B70" s="1" t="s">
        <v>138</v>
      </c>
      <c r="C70" s="4">
        <v>159</v>
      </c>
      <c r="D70" s="8">
        <v>5.46</v>
      </c>
      <c r="E70" s="4">
        <v>143</v>
      </c>
      <c r="F70" s="8">
        <v>9.7799999999999994</v>
      </c>
      <c r="G70" s="4">
        <v>16</v>
      </c>
      <c r="H70" s="8">
        <v>1.1100000000000001</v>
      </c>
      <c r="I70" s="4">
        <v>0</v>
      </c>
    </row>
    <row r="71" spans="1:9" x14ac:dyDescent="0.2">
      <c r="A71" s="2">
        <v>3</v>
      </c>
      <c r="B71" s="1" t="s">
        <v>133</v>
      </c>
      <c r="C71" s="4">
        <v>117</v>
      </c>
      <c r="D71" s="8">
        <v>4.0199999999999996</v>
      </c>
      <c r="E71" s="4">
        <v>103</v>
      </c>
      <c r="F71" s="8">
        <v>7.05</v>
      </c>
      <c r="G71" s="4">
        <v>14</v>
      </c>
      <c r="H71" s="8">
        <v>0.97</v>
      </c>
      <c r="I71" s="4">
        <v>0</v>
      </c>
    </row>
    <row r="72" spans="1:9" x14ac:dyDescent="0.2">
      <c r="A72" s="2">
        <v>4</v>
      </c>
      <c r="B72" s="1" t="s">
        <v>141</v>
      </c>
      <c r="C72" s="4">
        <v>98</v>
      </c>
      <c r="D72" s="8">
        <v>3.37</v>
      </c>
      <c r="E72" s="4">
        <v>84</v>
      </c>
      <c r="F72" s="8">
        <v>5.75</v>
      </c>
      <c r="G72" s="4">
        <v>14</v>
      </c>
      <c r="H72" s="8">
        <v>0.97</v>
      </c>
      <c r="I72" s="4">
        <v>0</v>
      </c>
    </row>
    <row r="73" spans="1:9" x14ac:dyDescent="0.2">
      <c r="A73" s="2">
        <v>5</v>
      </c>
      <c r="B73" s="1" t="s">
        <v>134</v>
      </c>
      <c r="C73" s="4">
        <v>87</v>
      </c>
      <c r="D73" s="8">
        <v>2.99</v>
      </c>
      <c r="E73" s="4">
        <v>80</v>
      </c>
      <c r="F73" s="8">
        <v>5.47</v>
      </c>
      <c r="G73" s="4">
        <v>7</v>
      </c>
      <c r="H73" s="8">
        <v>0.48</v>
      </c>
      <c r="I73" s="4">
        <v>0</v>
      </c>
    </row>
    <row r="74" spans="1:9" x14ac:dyDescent="0.2">
      <c r="A74" s="2">
        <v>6</v>
      </c>
      <c r="B74" s="1" t="s">
        <v>140</v>
      </c>
      <c r="C74" s="4">
        <v>81</v>
      </c>
      <c r="D74" s="8">
        <v>2.78</v>
      </c>
      <c r="E74" s="4">
        <v>57</v>
      </c>
      <c r="F74" s="8">
        <v>3.9</v>
      </c>
      <c r="G74" s="4">
        <v>24</v>
      </c>
      <c r="H74" s="8">
        <v>1.66</v>
      </c>
      <c r="I74" s="4">
        <v>0</v>
      </c>
    </row>
    <row r="75" spans="1:9" x14ac:dyDescent="0.2">
      <c r="A75" s="2">
        <v>7</v>
      </c>
      <c r="B75" s="1" t="s">
        <v>136</v>
      </c>
      <c r="C75" s="4">
        <v>75</v>
      </c>
      <c r="D75" s="8">
        <v>2.58</v>
      </c>
      <c r="E75" s="4">
        <v>69</v>
      </c>
      <c r="F75" s="8">
        <v>4.72</v>
      </c>
      <c r="G75" s="4">
        <v>6</v>
      </c>
      <c r="H75" s="8">
        <v>0.42</v>
      </c>
      <c r="I75" s="4">
        <v>0</v>
      </c>
    </row>
    <row r="76" spans="1:9" x14ac:dyDescent="0.2">
      <c r="A76" s="2">
        <v>8</v>
      </c>
      <c r="B76" s="1" t="s">
        <v>130</v>
      </c>
      <c r="C76" s="4">
        <v>72</v>
      </c>
      <c r="D76" s="8">
        <v>2.4700000000000002</v>
      </c>
      <c r="E76" s="4">
        <v>8</v>
      </c>
      <c r="F76" s="8">
        <v>0.55000000000000004</v>
      </c>
      <c r="G76" s="4">
        <v>64</v>
      </c>
      <c r="H76" s="8">
        <v>4.43</v>
      </c>
      <c r="I76" s="4">
        <v>0</v>
      </c>
    </row>
    <row r="77" spans="1:9" x14ac:dyDescent="0.2">
      <c r="A77" s="2">
        <v>9</v>
      </c>
      <c r="B77" s="1" t="s">
        <v>129</v>
      </c>
      <c r="C77" s="4">
        <v>71</v>
      </c>
      <c r="D77" s="8">
        <v>2.44</v>
      </c>
      <c r="E77" s="4">
        <v>48</v>
      </c>
      <c r="F77" s="8">
        <v>3.28</v>
      </c>
      <c r="G77" s="4">
        <v>23</v>
      </c>
      <c r="H77" s="8">
        <v>1.59</v>
      </c>
      <c r="I77" s="4">
        <v>0</v>
      </c>
    </row>
    <row r="78" spans="1:9" x14ac:dyDescent="0.2">
      <c r="A78" s="2">
        <v>10</v>
      </c>
      <c r="B78" s="1" t="s">
        <v>126</v>
      </c>
      <c r="C78" s="4">
        <v>70</v>
      </c>
      <c r="D78" s="8">
        <v>2.4</v>
      </c>
      <c r="E78" s="4">
        <v>49</v>
      </c>
      <c r="F78" s="8">
        <v>3.35</v>
      </c>
      <c r="G78" s="4">
        <v>21</v>
      </c>
      <c r="H78" s="8">
        <v>1.45</v>
      </c>
      <c r="I78" s="4">
        <v>0</v>
      </c>
    </row>
    <row r="79" spans="1:9" x14ac:dyDescent="0.2">
      <c r="A79" s="2">
        <v>11</v>
      </c>
      <c r="B79" s="1" t="s">
        <v>137</v>
      </c>
      <c r="C79" s="4">
        <v>69</v>
      </c>
      <c r="D79" s="8">
        <v>2.37</v>
      </c>
      <c r="E79" s="4">
        <v>65</v>
      </c>
      <c r="F79" s="8">
        <v>4.45</v>
      </c>
      <c r="G79" s="4">
        <v>4</v>
      </c>
      <c r="H79" s="8">
        <v>0.28000000000000003</v>
      </c>
      <c r="I79" s="4">
        <v>0</v>
      </c>
    </row>
    <row r="80" spans="1:9" x14ac:dyDescent="0.2">
      <c r="A80" s="2">
        <v>12</v>
      </c>
      <c r="B80" s="1" t="s">
        <v>135</v>
      </c>
      <c r="C80" s="4">
        <v>59</v>
      </c>
      <c r="D80" s="8">
        <v>2.0299999999999998</v>
      </c>
      <c r="E80" s="4">
        <v>58</v>
      </c>
      <c r="F80" s="8">
        <v>3.97</v>
      </c>
      <c r="G80" s="4">
        <v>1</v>
      </c>
      <c r="H80" s="8">
        <v>7.0000000000000007E-2</v>
      </c>
      <c r="I80" s="4">
        <v>0</v>
      </c>
    </row>
    <row r="81" spans="1:9" x14ac:dyDescent="0.2">
      <c r="A81" s="2">
        <v>13</v>
      </c>
      <c r="B81" s="1" t="s">
        <v>146</v>
      </c>
      <c r="C81" s="4">
        <v>46</v>
      </c>
      <c r="D81" s="8">
        <v>1.58</v>
      </c>
      <c r="E81" s="4">
        <v>24</v>
      </c>
      <c r="F81" s="8">
        <v>1.64</v>
      </c>
      <c r="G81" s="4">
        <v>22</v>
      </c>
      <c r="H81" s="8">
        <v>1.52</v>
      </c>
      <c r="I81" s="4">
        <v>0</v>
      </c>
    </row>
    <row r="82" spans="1:9" x14ac:dyDescent="0.2">
      <c r="A82" s="2">
        <v>14</v>
      </c>
      <c r="B82" s="1" t="s">
        <v>125</v>
      </c>
      <c r="C82" s="4">
        <v>45</v>
      </c>
      <c r="D82" s="8">
        <v>1.55</v>
      </c>
      <c r="E82" s="4">
        <v>31</v>
      </c>
      <c r="F82" s="8">
        <v>2.12</v>
      </c>
      <c r="G82" s="4">
        <v>14</v>
      </c>
      <c r="H82" s="8">
        <v>0.97</v>
      </c>
      <c r="I82" s="4">
        <v>0</v>
      </c>
    </row>
    <row r="83" spans="1:9" x14ac:dyDescent="0.2">
      <c r="A83" s="2">
        <v>14</v>
      </c>
      <c r="B83" s="1" t="s">
        <v>151</v>
      </c>
      <c r="C83" s="4">
        <v>45</v>
      </c>
      <c r="D83" s="8">
        <v>1.55</v>
      </c>
      <c r="E83" s="4">
        <v>31</v>
      </c>
      <c r="F83" s="8">
        <v>2.12</v>
      </c>
      <c r="G83" s="4">
        <v>14</v>
      </c>
      <c r="H83" s="8">
        <v>0.97</v>
      </c>
      <c r="I83" s="4">
        <v>0</v>
      </c>
    </row>
    <row r="84" spans="1:9" x14ac:dyDescent="0.2">
      <c r="A84" s="2">
        <v>14</v>
      </c>
      <c r="B84" s="1" t="s">
        <v>143</v>
      </c>
      <c r="C84" s="4">
        <v>45</v>
      </c>
      <c r="D84" s="8">
        <v>1.55</v>
      </c>
      <c r="E84" s="4">
        <v>3</v>
      </c>
      <c r="F84" s="8">
        <v>0.21</v>
      </c>
      <c r="G84" s="4">
        <v>42</v>
      </c>
      <c r="H84" s="8">
        <v>2.91</v>
      </c>
      <c r="I84" s="4">
        <v>0</v>
      </c>
    </row>
    <row r="85" spans="1:9" x14ac:dyDescent="0.2">
      <c r="A85" s="2">
        <v>14</v>
      </c>
      <c r="B85" s="1" t="s">
        <v>145</v>
      </c>
      <c r="C85" s="4">
        <v>45</v>
      </c>
      <c r="D85" s="8">
        <v>1.55</v>
      </c>
      <c r="E85" s="4">
        <v>42</v>
      </c>
      <c r="F85" s="8">
        <v>2.87</v>
      </c>
      <c r="G85" s="4">
        <v>3</v>
      </c>
      <c r="H85" s="8">
        <v>0.21</v>
      </c>
      <c r="I85" s="4">
        <v>0</v>
      </c>
    </row>
    <row r="86" spans="1:9" x14ac:dyDescent="0.2">
      <c r="A86" s="2">
        <v>18</v>
      </c>
      <c r="B86" s="1" t="s">
        <v>131</v>
      </c>
      <c r="C86" s="4">
        <v>42</v>
      </c>
      <c r="D86" s="8">
        <v>1.44</v>
      </c>
      <c r="E86" s="4">
        <v>3</v>
      </c>
      <c r="F86" s="8">
        <v>0.21</v>
      </c>
      <c r="G86" s="4">
        <v>39</v>
      </c>
      <c r="H86" s="8">
        <v>2.7</v>
      </c>
      <c r="I86" s="4">
        <v>0</v>
      </c>
    </row>
    <row r="87" spans="1:9" x14ac:dyDescent="0.2">
      <c r="A87" s="2">
        <v>19</v>
      </c>
      <c r="B87" s="1" t="s">
        <v>150</v>
      </c>
      <c r="C87" s="4">
        <v>40</v>
      </c>
      <c r="D87" s="8">
        <v>1.37</v>
      </c>
      <c r="E87" s="4">
        <v>10</v>
      </c>
      <c r="F87" s="8">
        <v>0.68</v>
      </c>
      <c r="G87" s="4">
        <v>30</v>
      </c>
      <c r="H87" s="8">
        <v>2.08</v>
      </c>
      <c r="I87" s="4">
        <v>0</v>
      </c>
    </row>
    <row r="88" spans="1:9" x14ac:dyDescent="0.2">
      <c r="A88" s="2">
        <v>20</v>
      </c>
      <c r="B88" s="1" t="s">
        <v>124</v>
      </c>
      <c r="C88" s="4">
        <v>39</v>
      </c>
      <c r="D88" s="8">
        <v>1.34</v>
      </c>
      <c r="E88" s="4">
        <v>8</v>
      </c>
      <c r="F88" s="8">
        <v>0.55000000000000004</v>
      </c>
      <c r="G88" s="4">
        <v>31</v>
      </c>
      <c r="H88" s="8">
        <v>2.15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132</v>
      </c>
      <c r="C91" s="4">
        <v>187</v>
      </c>
      <c r="D91" s="8">
        <v>5.1100000000000003</v>
      </c>
      <c r="E91" s="4">
        <v>90</v>
      </c>
      <c r="F91" s="8">
        <v>4.46</v>
      </c>
      <c r="G91" s="4">
        <v>97</v>
      </c>
      <c r="H91" s="8">
        <v>5.92</v>
      </c>
      <c r="I91" s="4">
        <v>0</v>
      </c>
    </row>
    <row r="92" spans="1:9" x14ac:dyDescent="0.2">
      <c r="A92" s="2">
        <v>2</v>
      </c>
      <c r="B92" s="1" t="s">
        <v>136</v>
      </c>
      <c r="C92" s="4">
        <v>149</v>
      </c>
      <c r="D92" s="8">
        <v>4.07</v>
      </c>
      <c r="E92" s="4">
        <v>142</v>
      </c>
      <c r="F92" s="8">
        <v>7.04</v>
      </c>
      <c r="G92" s="4">
        <v>7</v>
      </c>
      <c r="H92" s="8">
        <v>0.43</v>
      </c>
      <c r="I92" s="4">
        <v>0</v>
      </c>
    </row>
    <row r="93" spans="1:9" x14ac:dyDescent="0.2">
      <c r="A93" s="2">
        <v>3</v>
      </c>
      <c r="B93" s="1" t="s">
        <v>134</v>
      </c>
      <c r="C93" s="4">
        <v>141</v>
      </c>
      <c r="D93" s="8">
        <v>3.85</v>
      </c>
      <c r="E93" s="4">
        <v>132</v>
      </c>
      <c r="F93" s="8">
        <v>6.55</v>
      </c>
      <c r="G93" s="4">
        <v>9</v>
      </c>
      <c r="H93" s="8">
        <v>0.55000000000000004</v>
      </c>
      <c r="I93" s="4">
        <v>0</v>
      </c>
    </row>
    <row r="94" spans="1:9" x14ac:dyDescent="0.2">
      <c r="A94" s="2">
        <v>4</v>
      </c>
      <c r="B94" s="1" t="s">
        <v>133</v>
      </c>
      <c r="C94" s="4">
        <v>126</v>
      </c>
      <c r="D94" s="8">
        <v>3.44</v>
      </c>
      <c r="E94" s="4">
        <v>107</v>
      </c>
      <c r="F94" s="8">
        <v>5.31</v>
      </c>
      <c r="G94" s="4">
        <v>19</v>
      </c>
      <c r="H94" s="8">
        <v>1.1599999999999999</v>
      </c>
      <c r="I94" s="4">
        <v>0</v>
      </c>
    </row>
    <row r="95" spans="1:9" x14ac:dyDescent="0.2">
      <c r="A95" s="2">
        <v>5</v>
      </c>
      <c r="B95" s="1" t="s">
        <v>138</v>
      </c>
      <c r="C95" s="4">
        <v>107</v>
      </c>
      <c r="D95" s="8">
        <v>2.92</v>
      </c>
      <c r="E95" s="4">
        <v>102</v>
      </c>
      <c r="F95" s="8">
        <v>5.0599999999999996</v>
      </c>
      <c r="G95" s="4">
        <v>5</v>
      </c>
      <c r="H95" s="8">
        <v>0.31</v>
      </c>
      <c r="I95" s="4">
        <v>0</v>
      </c>
    </row>
    <row r="96" spans="1:9" x14ac:dyDescent="0.2">
      <c r="A96" s="2">
        <v>6</v>
      </c>
      <c r="B96" s="1" t="s">
        <v>129</v>
      </c>
      <c r="C96" s="4">
        <v>104</v>
      </c>
      <c r="D96" s="8">
        <v>2.84</v>
      </c>
      <c r="E96" s="4">
        <v>76</v>
      </c>
      <c r="F96" s="8">
        <v>3.77</v>
      </c>
      <c r="G96" s="4">
        <v>28</v>
      </c>
      <c r="H96" s="8">
        <v>1.71</v>
      </c>
      <c r="I96" s="4">
        <v>0</v>
      </c>
    </row>
    <row r="97" spans="1:9" x14ac:dyDescent="0.2">
      <c r="A97" s="2">
        <v>7</v>
      </c>
      <c r="B97" s="1" t="s">
        <v>126</v>
      </c>
      <c r="C97" s="4">
        <v>97</v>
      </c>
      <c r="D97" s="8">
        <v>2.65</v>
      </c>
      <c r="E97" s="4">
        <v>73</v>
      </c>
      <c r="F97" s="8">
        <v>3.62</v>
      </c>
      <c r="G97" s="4">
        <v>24</v>
      </c>
      <c r="H97" s="8">
        <v>1.47</v>
      </c>
      <c r="I97" s="4">
        <v>0</v>
      </c>
    </row>
    <row r="98" spans="1:9" x14ac:dyDescent="0.2">
      <c r="A98" s="2">
        <v>8</v>
      </c>
      <c r="B98" s="1" t="s">
        <v>135</v>
      </c>
      <c r="C98" s="4">
        <v>78</v>
      </c>
      <c r="D98" s="8">
        <v>2.13</v>
      </c>
      <c r="E98" s="4">
        <v>77</v>
      </c>
      <c r="F98" s="8">
        <v>3.82</v>
      </c>
      <c r="G98" s="4">
        <v>1</v>
      </c>
      <c r="H98" s="8">
        <v>0.06</v>
      </c>
      <c r="I98" s="4">
        <v>0</v>
      </c>
    </row>
    <row r="99" spans="1:9" x14ac:dyDescent="0.2">
      <c r="A99" s="2">
        <v>9</v>
      </c>
      <c r="B99" s="1" t="s">
        <v>145</v>
      </c>
      <c r="C99" s="4">
        <v>76</v>
      </c>
      <c r="D99" s="8">
        <v>2.08</v>
      </c>
      <c r="E99" s="4">
        <v>69</v>
      </c>
      <c r="F99" s="8">
        <v>3.42</v>
      </c>
      <c r="G99" s="4">
        <v>7</v>
      </c>
      <c r="H99" s="8">
        <v>0.43</v>
      </c>
      <c r="I99" s="4">
        <v>0</v>
      </c>
    </row>
    <row r="100" spans="1:9" x14ac:dyDescent="0.2">
      <c r="A100" s="2">
        <v>9</v>
      </c>
      <c r="B100" s="1" t="s">
        <v>137</v>
      </c>
      <c r="C100" s="4">
        <v>76</v>
      </c>
      <c r="D100" s="8">
        <v>2.08</v>
      </c>
      <c r="E100" s="4">
        <v>73</v>
      </c>
      <c r="F100" s="8">
        <v>3.62</v>
      </c>
      <c r="G100" s="4">
        <v>3</v>
      </c>
      <c r="H100" s="8">
        <v>0.18</v>
      </c>
      <c r="I100" s="4">
        <v>0</v>
      </c>
    </row>
    <row r="101" spans="1:9" x14ac:dyDescent="0.2">
      <c r="A101" s="2">
        <v>11</v>
      </c>
      <c r="B101" s="1" t="s">
        <v>141</v>
      </c>
      <c r="C101" s="4">
        <v>75</v>
      </c>
      <c r="D101" s="8">
        <v>2.0499999999999998</v>
      </c>
      <c r="E101" s="4">
        <v>67</v>
      </c>
      <c r="F101" s="8">
        <v>3.32</v>
      </c>
      <c r="G101" s="4">
        <v>8</v>
      </c>
      <c r="H101" s="8">
        <v>0.49</v>
      </c>
      <c r="I101" s="4">
        <v>0</v>
      </c>
    </row>
    <row r="102" spans="1:9" x14ac:dyDescent="0.2">
      <c r="A102" s="2">
        <v>12</v>
      </c>
      <c r="B102" s="1" t="s">
        <v>154</v>
      </c>
      <c r="C102" s="4">
        <v>60</v>
      </c>
      <c r="D102" s="8">
        <v>1.64</v>
      </c>
      <c r="E102" s="4">
        <v>50</v>
      </c>
      <c r="F102" s="8">
        <v>2.48</v>
      </c>
      <c r="G102" s="4">
        <v>10</v>
      </c>
      <c r="H102" s="8">
        <v>0.61</v>
      </c>
      <c r="I102" s="4">
        <v>0</v>
      </c>
    </row>
    <row r="103" spans="1:9" x14ac:dyDescent="0.2">
      <c r="A103" s="2">
        <v>13</v>
      </c>
      <c r="B103" s="1" t="s">
        <v>142</v>
      </c>
      <c r="C103" s="4">
        <v>59</v>
      </c>
      <c r="D103" s="8">
        <v>1.61</v>
      </c>
      <c r="E103" s="4">
        <v>43</v>
      </c>
      <c r="F103" s="8">
        <v>2.13</v>
      </c>
      <c r="G103" s="4">
        <v>16</v>
      </c>
      <c r="H103" s="8">
        <v>0.98</v>
      </c>
      <c r="I103" s="4">
        <v>0</v>
      </c>
    </row>
    <row r="104" spans="1:9" x14ac:dyDescent="0.2">
      <c r="A104" s="2">
        <v>14</v>
      </c>
      <c r="B104" s="1" t="s">
        <v>130</v>
      </c>
      <c r="C104" s="4">
        <v>54</v>
      </c>
      <c r="D104" s="8">
        <v>1.47</v>
      </c>
      <c r="E104" s="4">
        <v>8</v>
      </c>
      <c r="F104" s="8">
        <v>0.4</v>
      </c>
      <c r="G104" s="4">
        <v>46</v>
      </c>
      <c r="H104" s="8">
        <v>2.81</v>
      </c>
      <c r="I104" s="4">
        <v>0</v>
      </c>
    </row>
    <row r="105" spans="1:9" x14ac:dyDescent="0.2">
      <c r="A105" s="2">
        <v>14</v>
      </c>
      <c r="B105" s="1" t="s">
        <v>146</v>
      </c>
      <c r="C105" s="4">
        <v>54</v>
      </c>
      <c r="D105" s="8">
        <v>1.47</v>
      </c>
      <c r="E105" s="4">
        <v>40</v>
      </c>
      <c r="F105" s="8">
        <v>1.98</v>
      </c>
      <c r="G105" s="4">
        <v>14</v>
      </c>
      <c r="H105" s="8">
        <v>0.85</v>
      </c>
      <c r="I105" s="4">
        <v>0</v>
      </c>
    </row>
    <row r="106" spans="1:9" x14ac:dyDescent="0.2">
      <c r="A106" s="2">
        <v>16</v>
      </c>
      <c r="B106" s="1" t="s">
        <v>131</v>
      </c>
      <c r="C106" s="4">
        <v>52</v>
      </c>
      <c r="D106" s="8">
        <v>1.42</v>
      </c>
      <c r="E106" s="4">
        <v>10</v>
      </c>
      <c r="F106" s="8">
        <v>0.5</v>
      </c>
      <c r="G106" s="4">
        <v>42</v>
      </c>
      <c r="H106" s="8">
        <v>2.56</v>
      </c>
      <c r="I106" s="4">
        <v>0</v>
      </c>
    </row>
    <row r="107" spans="1:9" x14ac:dyDescent="0.2">
      <c r="A107" s="2">
        <v>17</v>
      </c>
      <c r="B107" s="1" t="s">
        <v>124</v>
      </c>
      <c r="C107" s="4">
        <v>48</v>
      </c>
      <c r="D107" s="8">
        <v>1.31</v>
      </c>
      <c r="E107" s="4">
        <v>10</v>
      </c>
      <c r="F107" s="8">
        <v>0.5</v>
      </c>
      <c r="G107" s="4">
        <v>38</v>
      </c>
      <c r="H107" s="8">
        <v>2.3199999999999998</v>
      </c>
      <c r="I107" s="4">
        <v>0</v>
      </c>
    </row>
    <row r="108" spans="1:9" x14ac:dyDescent="0.2">
      <c r="A108" s="2">
        <v>18</v>
      </c>
      <c r="B108" s="1" t="s">
        <v>128</v>
      </c>
      <c r="C108" s="4">
        <v>47</v>
      </c>
      <c r="D108" s="8">
        <v>1.28</v>
      </c>
      <c r="E108" s="4">
        <v>15</v>
      </c>
      <c r="F108" s="8">
        <v>0.74</v>
      </c>
      <c r="G108" s="4">
        <v>32</v>
      </c>
      <c r="H108" s="8">
        <v>1.95</v>
      </c>
      <c r="I108" s="4">
        <v>0</v>
      </c>
    </row>
    <row r="109" spans="1:9" x14ac:dyDescent="0.2">
      <c r="A109" s="2">
        <v>19</v>
      </c>
      <c r="B109" s="1" t="s">
        <v>123</v>
      </c>
      <c r="C109" s="4">
        <v>45</v>
      </c>
      <c r="D109" s="8">
        <v>1.23</v>
      </c>
      <c r="E109" s="4">
        <v>7</v>
      </c>
      <c r="F109" s="8">
        <v>0.35</v>
      </c>
      <c r="G109" s="4">
        <v>38</v>
      </c>
      <c r="H109" s="8">
        <v>2.3199999999999998</v>
      </c>
      <c r="I109" s="4">
        <v>0</v>
      </c>
    </row>
    <row r="110" spans="1:9" x14ac:dyDescent="0.2">
      <c r="A110" s="2">
        <v>20</v>
      </c>
      <c r="B110" s="1" t="s">
        <v>152</v>
      </c>
      <c r="C110" s="4">
        <v>43</v>
      </c>
      <c r="D110" s="8">
        <v>1.17</v>
      </c>
      <c r="E110" s="4">
        <v>13</v>
      </c>
      <c r="F110" s="8">
        <v>0.64</v>
      </c>
      <c r="G110" s="4">
        <v>30</v>
      </c>
      <c r="H110" s="8">
        <v>1.83</v>
      </c>
      <c r="I110" s="4">
        <v>0</v>
      </c>
    </row>
    <row r="111" spans="1:9" x14ac:dyDescent="0.2">
      <c r="A111" s="2">
        <v>20</v>
      </c>
      <c r="B111" s="1" t="s">
        <v>153</v>
      </c>
      <c r="C111" s="4">
        <v>43</v>
      </c>
      <c r="D111" s="8">
        <v>1.17</v>
      </c>
      <c r="E111" s="4">
        <v>2</v>
      </c>
      <c r="F111" s="8">
        <v>0.1</v>
      </c>
      <c r="G111" s="4">
        <v>41</v>
      </c>
      <c r="H111" s="8">
        <v>2.5</v>
      </c>
      <c r="I111" s="4">
        <v>0</v>
      </c>
    </row>
    <row r="112" spans="1:9" x14ac:dyDescent="0.2">
      <c r="A112" s="2">
        <v>20</v>
      </c>
      <c r="B112" s="1" t="s">
        <v>151</v>
      </c>
      <c r="C112" s="4">
        <v>43</v>
      </c>
      <c r="D112" s="8">
        <v>1.17</v>
      </c>
      <c r="E112" s="4">
        <v>29</v>
      </c>
      <c r="F112" s="8">
        <v>1.44</v>
      </c>
      <c r="G112" s="4">
        <v>14</v>
      </c>
      <c r="H112" s="8">
        <v>0.85</v>
      </c>
      <c r="I112" s="4">
        <v>0</v>
      </c>
    </row>
    <row r="113" spans="1:9" x14ac:dyDescent="0.2">
      <c r="A113" s="1"/>
      <c r="C113" s="4"/>
      <c r="D113" s="8"/>
      <c r="E113" s="4"/>
      <c r="F113" s="8"/>
      <c r="G113" s="4"/>
      <c r="H113" s="8"/>
      <c r="I113" s="4"/>
    </row>
    <row r="114" spans="1:9" x14ac:dyDescent="0.2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2">
      <c r="A115" s="2">
        <v>1</v>
      </c>
      <c r="B115" s="1" t="s">
        <v>136</v>
      </c>
      <c r="C115" s="4">
        <v>138</v>
      </c>
      <c r="D115" s="8">
        <v>4.3099999999999996</v>
      </c>
      <c r="E115" s="4">
        <v>132</v>
      </c>
      <c r="F115" s="8">
        <v>6.95</v>
      </c>
      <c r="G115" s="4">
        <v>6</v>
      </c>
      <c r="H115" s="8">
        <v>0.46</v>
      </c>
      <c r="I115" s="4">
        <v>0</v>
      </c>
    </row>
    <row r="116" spans="1:9" x14ac:dyDescent="0.2">
      <c r="A116" s="2">
        <v>2</v>
      </c>
      <c r="B116" s="1" t="s">
        <v>155</v>
      </c>
      <c r="C116" s="4">
        <v>116</v>
      </c>
      <c r="D116" s="8">
        <v>3.62</v>
      </c>
      <c r="E116" s="4">
        <v>101</v>
      </c>
      <c r="F116" s="8">
        <v>5.32</v>
      </c>
      <c r="G116" s="4">
        <v>15</v>
      </c>
      <c r="H116" s="8">
        <v>1.1599999999999999</v>
      </c>
      <c r="I116" s="4">
        <v>0</v>
      </c>
    </row>
    <row r="117" spans="1:9" x14ac:dyDescent="0.2">
      <c r="A117" s="2">
        <v>3</v>
      </c>
      <c r="B117" s="1" t="s">
        <v>138</v>
      </c>
      <c r="C117" s="4">
        <v>113</v>
      </c>
      <c r="D117" s="8">
        <v>3.53</v>
      </c>
      <c r="E117" s="4">
        <v>103</v>
      </c>
      <c r="F117" s="8">
        <v>5.42</v>
      </c>
      <c r="G117" s="4">
        <v>10</v>
      </c>
      <c r="H117" s="8">
        <v>0.77</v>
      </c>
      <c r="I117" s="4">
        <v>0</v>
      </c>
    </row>
    <row r="118" spans="1:9" x14ac:dyDescent="0.2">
      <c r="A118" s="2">
        <v>4</v>
      </c>
      <c r="B118" s="1" t="s">
        <v>132</v>
      </c>
      <c r="C118" s="4">
        <v>112</v>
      </c>
      <c r="D118" s="8">
        <v>3.5</v>
      </c>
      <c r="E118" s="4">
        <v>52</v>
      </c>
      <c r="F118" s="8">
        <v>2.74</v>
      </c>
      <c r="G118" s="4">
        <v>60</v>
      </c>
      <c r="H118" s="8">
        <v>4.63</v>
      </c>
      <c r="I118" s="4">
        <v>0</v>
      </c>
    </row>
    <row r="119" spans="1:9" x14ac:dyDescent="0.2">
      <c r="A119" s="2">
        <v>5</v>
      </c>
      <c r="B119" s="1" t="s">
        <v>133</v>
      </c>
      <c r="C119" s="4">
        <v>97</v>
      </c>
      <c r="D119" s="8">
        <v>3.03</v>
      </c>
      <c r="E119" s="4">
        <v>83</v>
      </c>
      <c r="F119" s="8">
        <v>4.37</v>
      </c>
      <c r="G119" s="4">
        <v>14</v>
      </c>
      <c r="H119" s="8">
        <v>1.08</v>
      </c>
      <c r="I119" s="4">
        <v>0</v>
      </c>
    </row>
    <row r="120" spans="1:9" x14ac:dyDescent="0.2">
      <c r="A120" s="2">
        <v>6</v>
      </c>
      <c r="B120" s="1" t="s">
        <v>141</v>
      </c>
      <c r="C120" s="4">
        <v>73</v>
      </c>
      <c r="D120" s="8">
        <v>2.2799999999999998</v>
      </c>
      <c r="E120" s="4">
        <v>65</v>
      </c>
      <c r="F120" s="8">
        <v>3.42</v>
      </c>
      <c r="G120" s="4">
        <v>8</v>
      </c>
      <c r="H120" s="8">
        <v>0.62</v>
      </c>
      <c r="I120" s="4">
        <v>0</v>
      </c>
    </row>
    <row r="121" spans="1:9" x14ac:dyDescent="0.2">
      <c r="A121" s="2">
        <v>7</v>
      </c>
      <c r="B121" s="1" t="s">
        <v>126</v>
      </c>
      <c r="C121" s="4">
        <v>72</v>
      </c>
      <c r="D121" s="8">
        <v>2.25</v>
      </c>
      <c r="E121" s="4">
        <v>53</v>
      </c>
      <c r="F121" s="8">
        <v>2.79</v>
      </c>
      <c r="G121" s="4">
        <v>19</v>
      </c>
      <c r="H121" s="8">
        <v>1.47</v>
      </c>
      <c r="I121" s="4">
        <v>0</v>
      </c>
    </row>
    <row r="122" spans="1:9" x14ac:dyDescent="0.2">
      <c r="A122" s="2">
        <v>8</v>
      </c>
      <c r="B122" s="1" t="s">
        <v>137</v>
      </c>
      <c r="C122" s="4">
        <v>71</v>
      </c>
      <c r="D122" s="8">
        <v>2.2200000000000002</v>
      </c>
      <c r="E122" s="4">
        <v>70</v>
      </c>
      <c r="F122" s="8">
        <v>3.68</v>
      </c>
      <c r="G122" s="4">
        <v>1</v>
      </c>
      <c r="H122" s="8">
        <v>0.08</v>
      </c>
      <c r="I122" s="4">
        <v>0</v>
      </c>
    </row>
    <row r="123" spans="1:9" x14ac:dyDescent="0.2">
      <c r="A123" s="2">
        <v>9</v>
      </c>
      <c r="B123" s="1" t="s">
        <v>129</v>
      </c>
      <c r="C123" s="4">
        <v>68</v>
      </c>
      <c r="D123" s="8">
        <v>2.12</v>
      </c>
      <c r="E123" s="4">
        <v>48</v>
      </c>
      <c r="F123" s="8">
        <v>2.5299999999999998</v>
      </c>
      <c r="G123" s="4">
        <v>20</v>
      </c>
      <c r="H123" s="8">
        <v>1.54</v>
      </c>
      <c r="I123" s="4">
        <v>0</v>
      </c>
    </row>
    <row r="124" spans="1:9" x14ac:dyDescent="0.2">
      <c r="A124" s="2">
        <v>10</v>
      </c>
      <c r="B124" s="1" t="s">
        <v>142</v>
      </c>
      <c r="C124" s="4">
        <v>67</v>
      </c>
      <c r="D124" s="8">
        <v>2.09</v>
      </c>
      <c r="E124" s="4">
        <v>47</v>
      </c>
      <c r="F124" s="8">
        <v>2.4700000000000002</v>
      </c>
      <c r="G124" s="4">
        <v>20</v>
      </c>
      <c r="H124" s="8">
        <v>1.54</v>
      </c>
      <c r="I124" s="4">
        <v>0</v>
      </c>
    </row>
    <row r="125" spans="1:9" x14ac:dyDescent="0.2">
      <c r="A125" s="2">
        <v>11</v>
      </c>
      <c r="B125" s="1" t="s">
        <v>145</v>
      </c>
      <c r="C125" s="4">
        <v>66</v>
      </c>
      <c r="D125" s="8">
        <v>2.06</v>
      </c>
      <c r="E125" s="4">
        <v>64</v>
      </c>
      <c r="F125" s="8">
        <v>3.37</v>
      </c>
      <c r="G125" s="4">
        <v>2</v>
      </c>
      <c r="H125" s="8">
        <v>0.15</v>
      </c>
      <c r="I125" s="4">
        <v>0</v>
      </c>
    </row>
    <row r="126" spans="1:9" x14ac:dyDescent="0.2">
      <c r="A126" s="2">
        <v>12</v>
      </c>
      <c r="B126" s="1" t="s">
        <v>134</v>
      </c>
      <c r="C126" s="4">
        <v>59</v>
      </c>
      <c r="D126" s="8">
        <v>1.84</v>
      </c>
      <c r="E126" s="4">
        <v>59</v>
      </c>
      <c r="F126" s="8">
        <v>3.11</v>
      </c>
      <c r="G126" s="4">
        <v>0</v>
      </c>
      <c r="H126" s="8">
        <v>0</v>
      </c>
      <c r="I126" s="4">
        <v>0</v>
      </c>
    </row>
    <row r="127" spans="1:9" x14ac:dyDescent="0.2">
      <c r="A127" s="2">
        <v>13</v>
      </c>
      <c r="B127" s="1" t="s">
        <v>156</v>
      </c>
      <c r="C127" s="4">
        <v>52</v>
      </c>
      <c r="D127" s="8">
        <v>1.62</v>
      </c>
      <c r="E127" s="4">
        <v>49</v>
      </c>
      <c r="F127" s="8">
        <v>2.58</v>
      </c>
      <c r="G127" s="4">
        <v>3</v>
      </c>
      <c r="H127" s="8">
        <v>0.23</v>
      </c>
      <c r="I127" s="4">
        <v>0</v>
      </c>
    </row>
    <row r="128" spans="1:9" x14ac:dyDescent="0.2">
      <c r="A128" s="2">
        <v>14</v>
      </c>
      <c r="B128" s="1" t="s">
        <v>157</v>
      </c>
      <c r="C128" s="4">
        <v>51</v>
      </c>
      <c r="D128" s="8">
        <v>1.59</v>
      </c>
      <c r="E128" s="4">
        <v>39</v>
      </c>
      <c r="F128" s="8">
        <v>2.0499999999999998</v>
      </c>
      <c r="G128" s="4">
        <v>12</v>
      </c>
      <c r="H128" s="8">
        <v>0.93</v>
      </c>
      <c r="I128" s="4">
        <v>0</v>
      </c>
    </row>
    <row r="129" spans="1:9" x14ac:dyDescent="0.2">
      <c r="A129" s="2">
        <v>15</v>
      </c>
      <c r="B129" s="1" t="s">
        <v>154</v>
      </c>
      <c r="C129" s="4">
        <v>50</v>
      </c>
      <c r="D129" s="8">
        <v>1.56</v>
      </c>
      <c r="E129" s="4">
        <v>41</v>
      </c>
      <c r="F129" s="8">
        <v>2.16</v>
      </c>
      <c r="G129" s="4">
        <v>9</v>
      </c>
      <c r="H129" s="8">
        <v>0.69</v>
      </c>
      <c r="I129" s="4">
        <v>0</v>
      </c>
    </row>
    <row r="130" spans="1:9" x14ac:dyDescent="0.2">
      <c r="A130" s="2">
        <v>16</v>
      </c>
      <c r="B130" s="1" t="s">
        <v>130</v>
      </c>
      <c r="C130" s="4">
        <v>46</v>
      </c>
      <c r="D130" s="8">
        <v>1.44</v>
      </c>
      <c r="E130" s="4">
        <v>10</v>
      </c>
      <c r="F130" s="8">
        <v>0.53</v>
      </c>
      <c r="G130" s="4">
        <v>36</v>
      </c>
      <c r="H130" s="8">
        <v>2.78</v>
      </c>
      <c r="I130" s="4">
        <v>0</v>
      </c>
    </row>
    <row r="131" spans="1:9" x14ac:dyDescent="0.2">
      <c r="A131" s="2">
        <v>17</v>
      </c>
      <c r="B131" s="1" t="s">
        <v>158</v>
      </c>
      <c r="C131" s="4">
        <v>45</v>
      </c>
      <c r="D131" s="8">
        <v>1.41</v>
      </c>
      <c r="E131" s="4">
        <v>24</v>
      </c>
      <c r="F131" s="8">
        <v>1.26</v>
      </c>
      <c r="G131" s="4">
        <v>21</v>
      </c>
      <c r="H131" s="8">
        <v>1.62</v>
      </c>
      <c r="I131" s="4">
        <v>0</v>
      </c>
    </row>
    <row r="132" spans="1:9" x14ac:dyDescent="0.2">
      <c r="A132" s="2">
        <v>18</v>
      </c>
      <c r="B132" s="1" t="s">
        <v>146</v>
      </c>
      <c r="C132" s="4">
        <v>41</v>
      </c>
      <c r="D132" s="8">
        <v>1.28</v>
      </c>
      <c r="E132" s="4">
        <v>32</v>
      </c>
      <c r="F132" s="8">
        <v>1.68</v>
      </c>
      <c r="G132" s="4">
        <v>9</v>
      </c>
      <c r="H132" s="8">
        <v>0.69</v>
      </c>
      <c r="I132" s="4">
        <v>0</v>
      </c>
    </row>
    <row r="133" spans="1:9" x14ac:dyDescent="0.2">
      <c r="A133" s="2">
        <v>19</v>
      </c>
      <c r="B133" s="1" t="s">
        <v>140</v>
      </c>
      <c r="C133" s="4">
        <v>39</v>
      </c>
      <c r="D133" s="8">
        <v>1.22</v>
      </c>
      <c r="E133" s="4">
        <v>33</v>
      </c>
      <c r="F133" s="8">
        <v>1.74</v>
      </c>
      <c r="G133" s="4">
        <v>4</v>
      </c>
      <c r="H133" s="8">
        <v>0.31</v>
      </c>
      <c r="I133" s="4">
        <v>2</v>
      </c>
    </row>
    <row r="134" spans="1:9" x14ac:dyDescent="0.2">
      <c r="A134" s="2">
        <v>20</v>
      </c>
      <c r="B134" s="1" t="s">
        <v>124</v>
      </c>
      <c r="C134" s="4">
        <v>38</v>
      </c>
      <c r="D134" s="8">
        <v>1.19</v>
      </c>
      <c r="E134" s="4">
        <v>9</v>
      </c>
      <c r="F134" s="8">
        <v>0.47</v>
      </c>
      <c r="G134" s="4">
        <v>29</v>
      </c>
      <c r="H134" s="8">
        <v>2.2400000000000002</v>
      </c>
      <c r="I134" s="4">
        <v>0</v>
      </c>
    </row>
    <row r="135" spans="1:9" x14ac:dyDescent="0.2">
      <c r="A135" s="2">
        <v>20</v>
      </c>
      <c r="B135" s="1" t="s">
        <v>128</v>
      </c>
      <c r="C135" s="4">
        <v>38</v>
      </c>
      <c r="D135" s="8">
        <v>1.19</v>
      </c>
      <c r="E135" s="4">
        <v>15</v>
      </c>
      <c r="F135" s="8">
        <v>0.79</v>
      </c>
      <c r="G135" s="4">
        <v>23</v>
      </c>
      <c r="H135" s="8">
        <v>1.77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132</v>
      </c>
      <c r="C138" s="4">
        <v>114</v>
      </c>
      <c r="D138" s="8">
        <v>5.07</v>
      </c>
      <c r="E138" s="4">
        <v>31</v>
      </c>
      <c r="F138" s="8">
        <v>2.77</v>
      </c>
      <c r="G138" s="4">
        <v>83</v>
      </c>
      <c r="H138" s="8">
        <v>7.36</v>
      </c>
      <c r="I138" s="4">
        <v>0</v>
      </c>
    </row>
    <row r="139" spans="1:9" x14ac:dyDescent="0.2">
      <c r="A139" s="2">
        <v>2</v>
      </c>
      <c r="B139" s="1" t="s">
        <v>138</v>
      </c>
      <c r="C139" s="4">
        <v>96</v>
      </c>
      <c r="D139" s="8">
        <v>4.2699999999999996</v>
      </c>
      <c r="E139" s="4">
        <v>84</v>
      </c>
      <c r="F139" s="8">
        <v>7.5</v>
      </c>
      <c r="G139" s="4">
        <v>12</v>
      </c>
      <c r="H139" s="8">
        <v>1.06</v>
      </c>
      <c r="I139" s="4">
        <v>0</v>
      </c>
    </row>
    <row r="140" spans="1:9" x14ac:dyDescent="0.2">
      <c r="A140" s="2">
        <v>3</v>
      </c>
      <c r="B140" s="1" t="s">
        <v>136</v>
      </c>
      <c r="C140" s="4">
        <v>77</v>
      </c>
      <c r="D140" s="8">
        <v>3.42</v>
      </c>
      <c r="E140" s="4">
        <v>72</v>
      </c>
      <c r="F140" s="8">
        <v>6.43</v>
      </c>
      <c r="G140" s="4">
        <v>5</v>
      </c>
      <c r="H140" s="8">
        <v>0.44</v>
      </c>
      <c r="I140" s="4">
        <v>0</v>
      </c>
    </row>
    <row r="141" spans="1:9" x14ac:dyDescent="0.2">
      <c r="A141" s="2">
        <v>4</v>
      </c>
      <c r="B141" s="1" t="s">
        <v>133</v>
      </c>
      <c r="C141" s="4">
        <v>69</v>
      </c>
      <c r="D141" s="8">
        <v>3.07</v>
      </c>
      <c r="E141" s="4">
        <v>57</v>
      </c>
      <c r="F141" s="8">
        <v>5.09</v>
      </c>
      <c r="G141" s="4">
        <v>12</v>
      </c>
      <c r="H141" s="8">
        <v>1.06</v>
      </c>
      <c r="I141" s="4">
        <v>0</v>
      </c>
    </row>
    <row r="142" spans="1:9" x14ac:dyDescent="0.2">
      <c r="A142" s="2">
        <v>5</v>
      </c>
      <c r="B142" s="1" t="s">
        <v>137</v>
      </c>
      <c r="C142" s="4">
        <v>59</v>
      </c>
      <c r="D142" s="8">
        <v>2.62</v>
      </c>
      <c r="E142" s="4">
        <v>53</v>
      </c>
      <c r="F142" s="8">
        <v>4.7300000000000004</v>
      </c>
      <c r="G142" s="4">
        <v>6</v>
      </c>
      <c r="H142" s="8">
        <v>0.53</v>
      </c>
      <c r="I142" s="4">
        <v>0</v>
      </c>
    </row>
    <row r="143" spans="1:9" x14ac:dyDescent="0.2">
      <c r="A143" s="2">
        <v>5</v>
      </c>
      <c r="B143" s="1" t="s">
        <v>141</v>
      </c>
      <c r="C143" s="4">
        <v>59</v>
      </c>
      <c r="D143" s="8">
        <v>2.62</v>
      </c>
      <c r="E143" s="4">
        <v>57</v>
      </c>
      <c r="F143" s="8">
        <v>5.09</v>
      </c>
      <c r="G143" s="4">
        <v>2</v>
      </c>
      <c r="H143" s="8">
        <v>0.18</v>
      </c>
      <c r="I143" s="4">
        <v>0</v>
      </c>
    </row>
    <row r="144" spans="1:9" x14ac:dyDescent="0.2">
      <c r="A144" s="2">
        <v>7</v>
      </c>
      <c r="B144" s="1" t="s">
        <v>140</v>
      </c>
      <c r="C144" s="4">
        <v>58</v>
      </c>
      <c r="D144" s="8">
        <v>2.58</v>
      </c>
      <c r="E144" s="4">
        <v>46</v>
      </c>
      <c r="F144" s="8">
        <v>4.1100000000000003</v>
      </c>
      <c r="G144" s="4">
        <v>11</v>
      </c>
      <c r="H144" s="8">
        <v>0.98</v>
      </c>
      <c r="I144" s="4">
        <v>1</v>
      </c>
    </row>
    <row r="145" spans="1:9" x14ac:dyDescent="0.2">
      <c r="A145" s="2">
        <v>8</v>
      </c>
      <c r="B145" s="1" t="s">
        <v>134</v>
      </c>
      <c r="C145" s="4">
        <v>54</v>
      </c>
      <c r="D145" s="8">
        <v>2.4</v>
      </c>
      <c r="E145" s="4">
        <v>52</v>
      </c>
      <c r="F145" s="8">
        <v>4.6399999999999997</v>
      </c>
      <c r="G145" s="4">
        <v>2</v>
      </c>
      <c r="H145" s="8">
        <v>0.18</v>
      </c>
      <c r="I145" s="4">
        <v>0</v>
      </c>
    </row>
    <row r="146" spans="1:9" x14ac:dyDescent="0.2">
      <c r="A146" s="2">
        <v>9</v>
      </c>
      <c r="B146" s="1" t="s">
        <v>130</v>
      </c>
      <c r="C146" s="4">
        <v>53</v>
      </c>
      <c r="D146" s="8">
        <v>2.36</v>
      </c>
      <c r="E146" s="4">
        <v>12</v>
      </c>
      <c r="F146" s="8">
        <v>1.07</v>
      </c>
      <c r="G146" s="4">
        <v>41</v>
      </c>
      <c r="H146" s="8">
        <v>3.64</v>
      </c>
      <c r="I146" s="4">
        <v>0</v>
      </c>
    </row>
    <row r="147" spans="1:9" x14ac:dyDescent="0.2">
      <c r="A147" s="2">
        <v>10</v>
      </c>
      <c r="B147" s="1" t="s">
        <v>126</v>
      </c>
      <c r="C147" s="4">
        <v>46</v>
      </c>
      <c r="D147" s="8">
        <v>2.04</v>
      </c>
      <c r="E147" s="4">
        <v>24</v>
      </c>
      <c r="F147" s="8">
        <v>2.14</v>
      </c>
      <c r="G147" s="4">
        <v>22</v>
      </c>
      <c r="H147" s="8">
        <v>1.95</v>
      </c>
      <c r="I147" s="4">
        <v>0</v>
      </c>
    </row>
    <row r="148" spans="1:9" x14ac:dyDescent="0.2">
      <c r="A148" s="2">
        <v>10</v>
      </c>
      <c r="B148" s="1" t="s">
        <v>131</v>
      </c>
      <c r="C148" s="4">
        <v>46</v>
      </c>
      <c r="D148" s="8">
        <v>2.04</v>
      </c>
      <c r="E148" s="4">
        <v>6</v>
      </c>
      <c r="F148" s="8">
        <v>0.54</v>
      </c>
      <c r="G148" s="4">
        <v>40</v>
      </c>
      <c r="H148" s="8">
        <v>3.55</v>
      </c>
      <c r="I148" s="4">
        <v>0</v>
      </c>
    </row>
    <row r="149" spans="1:9" x14ac:dyDescent="0.2">
      <c r="A149" s="2">
        <v>12</v>
      </c>
      <c r="B149" s="1" t="s">
        <v>150</v>
      </c>
      <c r="C149" s="4">
        <v>33</v>
      </c>
      <c r="D149" s="8">
        <v>1.47</v>
      </c>
      <c r="E149" s="4">
        <v>7</v>
      </c>
      <c r="F149" s="8">
        <v>0.63</v>
      </c>
      <c r="G149" s="4">
        <v>26</v>
      </c>
      <c r="H149" s="8">
        <v>2.31</v>
      </c>
      <c r="I149" s="4">
        <v>0</v>
      </c>
    </row>
    <row r="150" spans="1:9" x14ac:dyDescent="0.2">
      <c r="A150" s="2">
        <v>12</v>
      </c>
      <c r="B150" s="1" t="s">
        <v>124</v>
      </c>
      <c r="C150" s="4">
        <v>33</v>
      </c>
      <c r="D150" s="8">
        <v>1.47</v>
      </c>
      <c r="E150" s="4">
        <v>10</v>
      </c>
      <c r="F150" s="8">
        <v>0.89</v>
      </c>
      <c r="G150" s="4">
        <v>23</v>
      </c>
      <c r="H150" s="8">
        <v>2.04</v>
      </c>
      <c r="I150" s="4">
        <v>0</v>
      </c>
    </row>
    <row r="151" spans="1:9" x14ac:dyDescent="0.2">
      <c r="A151" s="2">
        <v>12</v>
      </c>
      <c r="B151" s="1" t="s">
        <v>128</v>
      </c>
      <c r="C151" s="4">
        <v>33</v>
      </c>
      <c r="D151" s="8">
        <v>1.47</v>
      </c>
      <c r="E151" s="4">
        <v>11</v>
      </c>
      <c r="F151" s="8">
        <v>0.98</v>
      </c>
      <c r="G151" s="4">
        <v>22</v>
      </c>
      <c r="H151" s="8">
        <v>1.95</v>
      </c>
      <c r="I151" s="4">
        <v>0</v>
      </c>
    </row>
    <row r="152" spans="1:9" x14ac:dyDescent="0.2">
      <c r="A152" s="2">
        <v>12</v>
      </c>
      <c r="B152" s="1" t="s">
        <v>142</v>
      </c>
      <c r="C152" s="4">
        <v>33</v>
      </c>
      <c r="D152" s="8">
        <v>1.47</v>
      </c>
      <c r="E152" s="4">
        <v>20</v>
      </c>
      <c r="F152" s="8">
        <v>1.79</v>
      </c>
      <c r="G152" s="4">
        <v>13</v>
      </c>
      <c r="H152" s="8">
        <v>1.1499999999999999</v>
      </c>
      <c r="I152" s="4">
        <v>0</v>
      </c>
    </row>
    <row r="153" spans="1:9" x14ac:dyDescent="0.2">
      <c r="A153" s="2">
        <v>16</v>
      </c>
      <c r="B153" s="1" t="s">
        <v>159</v>
      </c>
      <c r="C153" s="4">
        <v>32</v>
      </c>
      <c r="D153" s="8">
        <v>1.42</v>
      </c>
      <c r="E153" s="4">
        <v>10</v>
      </c>
      <c r="F153" s="8">
        <v>0.89</v>
      </c>
      <c r="G153" s="4">
        <v>22</v>
      </c>
      <c r="H153" s="8">
        <v>1.95</v>
      </c>
      <c r="I153" s="4">
        <v>0</v>
      </c>
    </row>
    <row r="154" spans="1:9" x14ac:dyDescent="0.2">
      <c r="A154" s="2">
        <v>16</v>
      </c>
      <c r="B154" s="1" t="s">
        <v>146</v>
      </c>
      <c r="C154" s="4">
        <v>32</v>
      </c>
      <c r="D154" s="8">
        <v>1.42</v>
      </c>
      <c r="E154" s="4">
        <v>20</v>
      </c>
      <c r="F154" s="8">
        <v>1.79</v>
      </c>
      <c r="G154" s="4">
        <v>12</v>
      </c>
      <c r="H154" s="8">
        <v>1.06</v>
      </c>
      <c r="I154" s="4">
        <v>0</v>
      </c>
    </row>
    <row r="155" spans="1:9" x14ac:dyDescent="0.2">
      <c r="A155" s="2">
        <v>18</v>
      </c>
      <c r="B155" s="1" t="s">
        <v>125</v>
      </c>
      <c r="C155" s="4">
        <v>31</v>
      </c>
      <c r="D155" s="8">
        <v>1.38</v>
      </c>
      <c r="E155" s="4">
        <v>14</v>
      </c>
      <c r="F155" s="8">
        <v>1.25</v>
      </c>
      <c r="G155" s="4">
        <v>17</v>
      </c>
      <c r="H155" s="8">
        <v>1.51</v>
      </c>
      <c r="I155" s="4">
        <v>0</v>
      </c>
    </row>
    <row r="156" spans="1:9" x14ac:dyDescent="0.2">
      <c r="A156" s="2">
        <v>18</v>
      </c>
      <c r="B156" s="1" t="s">
        <v>129</v>
      </c>
      <c r="C156" s="4">
        <v>31</v>
      </c>
      <c r="D156" s="8">
        <v>1.38</v>
      </c>
      <c r="E156" s="4">
        <v>18</v>
      </c>
      <c r="F156" s="8">
        <v>1.61</v>
      </c>
      <c r="G156" s="4">
        <v>13</v>
      </c>
      <c r="H156" s="8">
        <v>1.1499999999999999</v>
      </c>
      <c r="I156" s="4">
        <v>0</v>
      </c>
    </row>
    <row r="157" spans="1:9" x14ac:dyDescent="0.2">
      <c r="A157" s="2">
        <v>18</v>
      </c>
      <c r="B157" s="1" t="s">
        <v>144</v>
      </c>
      <c r="C157" s="4">
        <v>31</v>
      </c>
      <c r="D157" s="8">
        <v>1.38</v>
      </c>
      <c r="E157" s="4">
        <v>14</v>
      </c>
      <c r="F157" s="8">
        <v>1.25</v>
      </c>
      <c r="G157" s="4">
        <v>16</v>
      </c>
      <c r="H157" s="8">
        <v>1.42</v>
      </c>
      <c r="I157" s="4">
        <v>0</v>
      </c>
    </row>
    <row r="158" spans="1:9" x14ac:dyDescent="0.2">
      <c r="A158" s="1"/>
      <c r="C158" s="4"/>
      <c r="D158" s="8"/>
      <c r="E158" s="4"/>
      <c r="F158" s="8"/>
      <c r="G158" s="4"/>
      <c r="H158" s="8"/>
      <c r="I158" s="4"/>
    </row>
    <row r="159" spans="1:9" x14ac:dyDescent="0.2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2">
      <c r="A160" s="2">
        <v>1</v>
      </c>
      <c r="B160" s="1" t="s">
        <v>138</v>
      </c>
      <c r="C160" s="4">
        <v>161</v>
      </c>
      <c r="D160" s="8">
        <v>6.27</v>
      </c>
      <c r="E160" s="4">
        <v>147</v>
      </c>
      <c r="F160" s="8">
        <v>11.77</v>
      </c>
      <c r="G160" s="4">
        <v>14</v>
      </c>
      <c r="H160" s="8">
        <v>1.07</v>
      </c>
      <c r="I160" s="4">
        <v>0</v>
      </c>
    </row>
    <row r="161" spans="1:9" x14ac:dyDescent="0.2">
      <c r="A161" s="2">
        <v>2</v>
      </c>
      <c r="B161" s="1" t="s">
        <v>132</v>
      </c>
      <c r="C161" s="4">
        <v>126</v>
      </c>
      <c r="D161" s="8">
        <v>4.91</v>
      </c>
      <c r="E161" s="4">
        <v>36</v>
      </c>
      <c r="F161" s="8">
        <v>2.88</v>
      </c>
      <c r="G161" s="4">
        <v>90</v>
      </c>
      <c r="H161" s="8">
        <v>6.86</v>
      </c>
      <c r="I161" s="4">
        <v>0</v>
      </c>
    </row>
    <row r="162" spans="1:9" x14ac:dyDescent="0.2">
      <c r="A162" s="2">
        <v>3</v>
      </c>
      <c r="B162" s="1" t="s">
        <v>140</v>
      </c>
      <c r="C162" s="4">
        <v>98</v>
      </c>
      <c r="D162" s="8">
        <v>3.82</v>
      </c>
      <c r="E162" s="4">
        <v>77</v>
      </c>
      <c r="F162" s="8">
        <v>6.16</v>
      </c>
      <c r="G162" s="4">
        <v>20</v>
      </c>
      <c r="H162" s="8">
        <v>1.52</v>
      </c>
      <c r="I162" s="4">
        <v>1</v>
      </c>
    </row>
    <row r="163" spans="1:9" x14ac:dyDescent="0.2">
      <c r="A163" s="2">
        <v>4</v>
      </c>
      <c r="B163" s="1" t="s">
        <v>137</v>
      </c>
      <c r="C163" s="4">
        <v>92</v>
      </c>
      <c r="D163" s="8">
        <v>3.58</v>
      </c>
      <c r="E163" s="4">
        <v>84</v>
      </c>
      <c r="F163" s="8">
        <v>6.73</v>
      </c>
      <c r="G163" s="4">
        <v>8</v>
      </c>
      <c r="H163" s="8">
        <v>0.61</v>
      </c>
      <c r="I163" s="4">
        <v>0</v>
      </c>
    </row>
    <row r="164" spans="1:9" x14ac:dyDescent="0.2">
      <c r="A164" s="2">
        <v>5</v>
      </c>
      <c r="B164" s="1" t="s">
        <v>136</v>
      </c>
      <c r="C164" s="4">
        <v>80</v>
      </c>
      <c r="D164" s="8">
        <v>3.12</v>
      </c>
      <c r="E164" s="4">
        <v>72</v>
      </c>
      <c r="F164" s="8">
        <v>5.76</v>
      </c>
      <c r="G164" s="4">
        <v>8</v>
      </c>
      <c r="H164" s="8">
        <v>0.61</v>
      </c>
      <c r="I164" s="4">
        <v>0</v>
      </c>
    </row>
    <row r="165" spans="1:9" x14ac:dyDescent="0.2">
      <c r="A165" s="2">
        <v>6</v>
      </c>
      <c r="B165" s="1" t="s">
        <v>141</v>
      </c>
      <c r="C165" s="4">
        <v>74</v>
      </c>
      <c r="D165" s="8">
        <v>2.88</v>
      </c>
      <c r="E165" s="4">
        <v>60</v>
      </c>
      <c r="F165" s="8">
        <v>4.8</v>
      </c>
      <c r="G165" s="4">
        <v>14</v>
      </c>
      <c r="H165" s="8">
        <v>1.07</v>
      </c>
      <c r="I165" s="4">
        <v>0</v>
      </c>
    </row>
    <row r="166" spans="1:9" x14ac:dyDescent="0.2">
      <c r="A166" s="2">
        <v>7</v>
      </c>
      <c r="B166" s="1" t="s">
        <v>130</v>
      </c>
      <c r="C166" s="4">
        <v>57</v>
      </c>
      <c r="D166" s="8">
        <v>2.2200000000000002</v>
      </c>
      <c r="E166" s="4">
        <v>9</v>
      </c>
      <c r="F166" s="8">
        <v>0.72</v>
      </c>
      <c r="G166" s="4">
        <v>48</v>
      </c>
      <c r="H166" s="8">
        <v>3.66</v>
      </c>
      <c r="I166" s="4">
        <v>0</v>
      </c>
    </row>
    <row r="167" spans="1:9" x14ac:dyDescent="0.2">
      <c r="A167" s="2">
        <v>7</v>
      </c>
      <c r="B167" s="1" t="s">
        <v>139</v>
      </c>
      <c r="C167" s="4">
        <v>57</v>
      </c>
      <c r="D167" s="8">
        <v>2.2200000000000002</v>
      </c>
      <c r="E167" s="4">
        <v>37</v>
      </c>
      <c r="F167" s="8">
        <v>2.96</v>
      </c>
      <c r="G167" s="4">
        <v>20</v>
      </c>
      <c r="H167" s="8">
        <v>1.52</v>
      </c>
      <c r="I167" s="4">
        <v>0</v>
      </c>
    </row>
    <row r="168" spans="1:9" x14ac:dyDescent="0.2">
      <c r="A168" s="2">
        <v>9</v>
      </c>
      <c r="B168" s="1" t="s">
        <v>131</v>
      </c>
      <c r="C168" s="4">
        <v>52</v>
      </c>
      <c r="D168" s="8">
        <v>2.02</v>
      </c>
      <c r="E168" s="4">
        <v>4</v>
      </c>
      <c r="F168" s="8">
        <v>0.32</v>
      </c>
      <c r="G168" s="4">
        <v>48</v>
      </c>
      <c r="H168" s="8">
        <v>3.66</v>
      </c>
      <c r="I168" s="4">
        <v>0</v>
      </c>
    </row>
    <row r="169" spans="1:9" x14ac:dyDescent="0.2">
      <c r="A169" s="2">
        <v>9</v>
      </c>
      <c r="B169" s="1" t="s">
        <v>133</v>
      </c>
      <c r="C169" s="4">
        <v>52</v>
      </c>
      <c r="D169" s="8">
        <v>2.02</v>
      </c>
      <c r="E169" s="4">
        <v>45</v>
      </c>
      <c r="F169" s="8">
        <v>3.6</v>
      </c>
      <c r="G169" s="4">
        <v>7</v>
      </c>
      <c r="H169" s="8">
        <v>0.53</v>
      </c>
      <c r="I169" s="4">
        <v>0</v>
      </c>
    </row>
    <row r="170" spans="1:9" x14ac:dyDescent="0.2">
      <c r="A170" s="2">
        <v>11</v>
      </c>
      <c r="B170" s="1" t="s">
        <v>134</v>
      </c>
      <c r="C170" s="4">
        <v>50</v>
      </c>
      <c r="D170" s="8">
        <v>1.95</v>
      </c>
      <c r="E170" s="4">
        <v>45</v>
      </c>
      <c r="F170" s="8">
        <v>3.6</v>
      </c>
      <c r="G170" s="4">
        <v>5</v>
      </c>
      <c r="H170" s="8">
        <v>0.38</v>
      </c>
      <c r="I170" s="4">
        <v>0</v>
      </c>
    </row>
    <row r="171" spans="1:9" x14ac:dyDescent="0.2">
      <c r="A171" s="2">
        <v>12</v>
      </c>
      <c r="B171" s="1" t="s">
        <v>125</v>
      </c>
      <c r="C171" s="4">
        <v>49</v>
      </c>
      <c r="D171" s="8">
        <v>1.91</v>
      </c>
      <c r="E171" s="4">
        <v>18</v>
      </c>
      <c r="F171" s="8">
        <v>1.44</v>
      </c>
      <c r="G171" s="4">
        <v>31</v>
      </c>
      <c r="H171" s="8">
        <v>2.36</v>
      </c>
      <c r="I171" s="4">
        <v>0</v>
      </c>
    </row>
    <row r="172" spans="1:9" x14ac:dyDescent="0.2">
      <c r="A172" s="2">
        <v>12</v>
      </c>
      <c r="B172" s="1" t="s">
        <v>142</v>
      </c>
      <c r="C172" s="4">
        <v>49</v>
      </c>
      <c r="D172" s="8">
        <v>1.91</v>
      </c>
      <c r="E172" s="4">
        <v>25</v>
      </c>
      <c r="F172" s="8">
        <v>2</v>
      </c>
      <c r="G172" s="4">
        <v>24</v>
      </c>
      <c r="H172" s="8">
        <v>1.83</v>
      </c>
      <c r="I172" s="4">
        <v>0</v>
      </c>
    </row>
    <row r="173" spans="1:9" x14ac:dyDescent="0.2">
      <c r="A173" s="2">
        <v>14</v>
      </c>
      <c r="B173" s="1" t="s">
        <v>129</v>
      </c>
      <c r="C173" s="4">
        <v>48</v>
      </c>
      <c r="D173" s="8">
        <v>1.87</v>
      </c>
      <c r="E173" s="4">
        <v>31</v>
      </c>
      <c r="F173" s="8">
        <v>2.48</v>
      </c>
      <c r="G173" s="4">
        <v>17</v>
      </c>
      <c r="H173" s="8">
        <v>1.3</v>
      </c>
      <c r="I173" s="4">
        <v>0</v>
      </c>
    </row>
    <row r="174" spans="1:9" x14ac:dyDescent="0.2">
      <c r="A174" s="2">
        <v>15</v>
      </c>
      <c r="B174" s="1" t="s">
        <v>143</v>
      </c>
      <c r="C174" s="4">
        <v>44</v>
      </c>
      <c r="D174" s="8">
        <v>1.71</v>
      </c>
      <c r="E174" s="4">
        <v>0</v>
      </c>
      <c r="F174" s="8">
        <v>0</v>
      </c>
      <c r="G174" s="4">
        <v>42</v>
      </c>
      <c r="H174" s="8">
        <v>3.2</v>
      </c>
      <c r="I174" s="4">
        <v>2</v>
      </c>
    </row>
    <row r="175" spans="1:9" x14ac:dyDescent="0.2">
      <c r="A175" s="2">
        <v>16</v>
      </c>
      <c r="B175" s="1" t="s">
        <v>122</v>
      </c>
      <c r="C175" s="4">
        <v>42</v>
      </c>
      <c r="D175" s="8">
        <v>1.64</v>
      </c>
      <c r="E175" s="4">
        <v>6</v>
      </c>
      <c r="F175" s="8">
        <v>0.48</v>
      </c>
      <c r="G175" s="4">
        <v>36</v>
      </c>
      <c r="H175" s="8">
        <v>2.74</v>
      </c>
      <c r="I175" s="4">
        <v>0</v>
      </c>
    </row>
    <row r="176" spans="1:9" x14ac:dyDescent="0.2">
      <c r="A176" s="2">
        <v>16</v>
      </c>
      <c r="B176" s="1" t="s">
        <v>151</v>
      </c>
      <c r="C176" s="4">
        <v>42</v>
      </c>
      <c r="D176" s="8">
        <v>1.64</v>
      </c>
      <c r="E176" s="4">
        <v>29</v>
      </c>
      <c r="F176" s="8">
        <v>2.3199999999999998</v>
      </c>
      <c r="G176" s="4">
        <v>13</v>
      </c>
      <c r="H176" s="8">
        <v>0.99</v>
      </c>
      <c r="I176" s="4">
        <v>0</v>
      </c>
    </row>
    <row r="177" spans="1:9" x14ac:dyDescent="0.2">
      <c r="A177" s="2">
        <v>16</v>
      </c>
      <c r="B177" s="1" t="s">
        <v>126</v>
      </c>
      <c r="C177" s="4">
        <v>42</v>
      </c>
      <c r="D177" s="8">
        <v>1.64</v>
      </c>
      <c r="E177" s="4">
        <v>23</v>
      </c>
      <c r="F177" s="8">
        <v>1.84</v>
      </c>
      <c r="G177" s="4">
        <v>19</v>
      </c>
      <c r="H177" s="8">
        <v>1.45</v>
      </c>
      <c r="I177" s="4">
        <v>0</v>
      </c>
    </row>
    <row r="178" spans="1:9" x14ac:dyDescent="0.2">
      <c r="A178" s="2">
        <v>16</v>
      </c>
      <c r="B178" s="1" t="s">
        <v>128</v>
      </c>
      <c r="C178" s="4">
        <v>42</v>
      </c>
      <c r="D178" s="8">
        <v>1.64</v>
      </c>
      <c r="E178" s="4">
        <v>11</v>
      </c>
      <c r="F178" s="8">
        <v>0.88</v>
      </c>
      <c r="G178" s="4">
        <v>31</v>
      </c>
      <c r="H178" s="8">
        <v>2.36</v>
      </c>
      <c r="I178" s="4">
        <v>0</v>
      </c>
    </row>
    <row r="179" spans="1:9" x14ac:dyDescent="0.2">
      <c r="A179" s="2">
        <v>20</v>
      </c>
      <c r="B179" s="1" t="s">
        <v>146</v>
      </c>
      <c r="C179" s="4">
        <v>41</v>
      </c>
      <c r="D179" s="8">
        <v>1.6</v>
      </c>
      <c r="E179" s="4">
        <v>21</v>
      </c>
      <c r="F179" s="8">
        <v>1.68</v>
      </c>
      <c r="G179" s="4">
        <v>20</v>
      </c>
      <c r="H179" s="8">
        <v>1.52</v>
      </c>
      <c r="I179" s="4">
        <v>0</v>
      </c>
    </row>
    <row r="180" spans="1:9" x14ac:dyDescent="0.2">
      <c r="A180" s="1"/>
      <c r="C180" s="4"/>
      <c r="D180" s="8"/>
      <c r="E180" s="4"/>
      <c r="F180" s="8"/>
      <c r="G180" s="4"/>
      <c r="H180" s="8"/>
      <c r="I180" s="4"/>
    </row>
    <row r="181" spans="1:9" x14ac:dyDescent="0.2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2">
      <c r="A182" s="2">
        <v>1</v>
      </c>
      <c r="B182" s="1" t="s">
        <v>138</v>
      </c>
      <c r="C182" s="4">
        <v>145</v>
      </c>
      <c r="D182" s="8">
        <v>5.46</v>
      </c>
      <c r="E182" s="4">
        <v>125</v>
      </c>
      <c r="F182" s="8">
        <v>10.77</v>
      </c>
      <c r="G182" s="4">
        <v>20</v>
      </c>
      <c r="H182" s="8">
        <v>1.34</v>
      </c>
      <c r="I182" s="4">
        <v>0</v>
      </c>
    </row>
    <row r="183" spans="1:9" x14ac:dyDescent="0.2">
      <c r="A183" s="2">
        <v>2</v>
      </c>
      <c r="B183" s="1" t="s">
        <v>132</v>
      </c>
      <c r="C183" s="4">
        <v>123</v>
      </c>
      <c r="D183" s="8">
        <v>4.63</v>
      </c>
      <c r="E183" s="4">
        <v>28</v>
      </c>
      <c r="F183" s="8">
        <v>2.41</v>
      </c>
      <c r="G183" s="4">
        <v>95</v>
      </c>
      <c r="H183" s="8">
        <v>6.38</v>
      </c>
      <c r="I183" s="4">
        <v>0</v>
      </c>
    </row>
    <row r="184" spans="1:9" x14ac:dyDescent="0.2">
      <c r="A184" s="2">
        <v>3</v>
      </c>
      <c r="B184" s="1" t="s">
        <v>140</v>
      </c>
      <c r="C184" s="4">
        <v>100</v>
      </c>
      <c r="D184" s="8">
        <v>3.76</v>
      </c>
      <c r="E184" s="4">
        <v>84</v>
      </c>
      <c r="F184" s="8">
        <v>7.24</v>
      </c>
      <c r="G184" s="4">
        <v>15</v>
      </c>
      <c r="H184" s="8">
        <v>1.01</v>
      </c>
      <c r="I184" s="4">
        <v>1</v>
      </c>
    </row>
    <row r="185" spans="1:9" x14ac:dyDescent="0.2">
      <c r="A185" s="2">
        <v>4</v>
      </c>
      <c r="B185" s="1" t="s">
        <v>141</v>
      </c>
      <c r="C185" s="4">
        <v>79</v>
      </c>
      <c r="D185" s="8">
        <v>2.97</v>
      </c>
      <c r="E185" s="4">
        <v>71</v>
      </c>
      <c r="F185" s="8">
        <v>6.12</v>
      </c>
      <c r="G185" s="4">
        <v>8</v>
      </c>
      <c r="H185" s="8">
        <v>0.54</v>
      </c>
      <c r="I185" s="4">
        <v>0</v>
      </c>
    </row>
    <row r="186" spans="1:9" x14ac:dyDescent="0.2">
      <c r="A186" s="2">
        <v>5</v>
      </c>
      <c r="B186" s="1" t="s">
        <v>137</v>
      </c>
      <c r="C186" s="4">
        <v>72</v>
      </c>
      <c r="D186" s="8">
        <v>2.71</v>
      </c>
      <c r="E186" s="4">
        <v>66</v>
      </c>
      <c r="F186" s="8">
        <v>5.68</v>
      </c>
      <c r="G186" s="4">
        <v>6</v>
      </c>
      <c r="H186" s="8">
        <v>0.4</v>
      </c>
      <c r="I186" s="4">
        <v>0</v>
      </c>
    </row>
    <row r="187" spans="1:9" x14ac:dyDescent="0.2">
      <c r="A187" s="2">
        <v>6</v>
      </c>
      <c r="B187" s="1" t="s">
        <v>139</v>
      </c>
      <c r="C187" s="4">
        <v>68</v>
      </c>
      <c r="D187" s="8">
        <v>2.56</v>
      </c>
      <c r="E187" s="4">
        <v>51</v>
      </c>
      <c r="F187" s="8">
        <v>4.3899999999999997</v>
      </c>
      <c r="G187" s="4">
        <v>17</v>
      </c>
      <c r="H187" s="8">
        <v>1.1399999999999999</v>
      </c>
      <c r="I187" s="4">
        <v>0</v>
      </c>
    </row>
    <row r="188" spans="1:9" x14ac:dyDescent="0.2">
      <c r="A188" s="2">
        <v>7</v>
      </c>
      <c r="B188" s="1" t="s">
        <v>136</v>
      </c>
      <c r="C188" s="4">
        <v>65</v>
      </c>
      <c r="D188" s="8">
        <v>2.4500000000000002</v>
      </c>
      <c r="E188" s="4">
        <v>61</v>
      </c>
      <c r="F188" s="8">
        <v>5.25</v>
      </c>
      <c r="G188" s="4">
        <v>4</v>
      </c>
      <c r="H188" s="8">
        <v>0.27</v>
      </c>
      <c r="I188" s="4">
        <v>0</v>
      </c>
    </row>
    <row r="189" spans="1:9" x14ac:dyDescent="0.2">
      <c r="A189" s="2">
        <v>8</v>
      </c>
      <c r="B189" s="1" t="s">
        <v>127</v>
      </c>
      <c r="C189" s="4">
        <v>61</v>
      </c>
      <c r="D189" s="8">
        <v>2.29</v>
      </c>
      <c r="E189" s="4">
        <v>36</v>
      </c>
      <c r="F189" s="8">
        <v>3.1</v>
      </c>
      <c r="G189" s="4">
        <v>25</v>
      </c>
      <c r="H189" s="8">
        <v>1.68</v>
      </c>
      <c r="I189" s="4">
        <v>0</v>
      </c>
    </row>
    <row r="190" spans="1:9" x14ac:dyDescent="0.2">
      <c r="A190" s="2">
        <v>9</v>
      </c>
      <c r="B190" s="1" t="s">
        <v>122</v>
      </c>
      <c r="C190" s="4">
        <v>57</v>
      </c>
      <c r="D190" s="8">
        <v>2.14</v>
      </c>
      <c r="E190" s="4">
        <v>13</v>
      </c>
      <c r="F190" s="8">
        <v>1.1200000000000001</v>
      </c>
      <c r="G190" s="4">
        <v>44</v>
      </c>
      <c r="H190" s="8">
        <v>2.96</v>
      </c>
      <c r="I190" s="4">
        <v>0</v>
      </c>
    </row>
    <row r="191" spans="1:9" x14ac:dyDescent="0.2">
      <c r="A191" s="2">
        <v>10</v>
      </c>
      <c r="B191" s="1" t="s">
        <v>129</v>
      </c>
      <c r="C191" s="4">
        <v>54</v>
      </c>
      <c r="D191" s="8">
        <v>2.0299999999999998</v>
      </c>
      <c r="E191" s="4">
        <v>31</v>
      </c>
      <c r="F191" s="8">
        <v>2.67</v>
      </c>
      <c r="G191" s="4">
        <v>23</v>
      </c>
      <c r="H191" s="8">
        <v>1.55</v>
      </c>
      <c r="I191" s="4">
        <v>0</v>
      </c>
    </row>
    <row r="192" spans="1:9" x14ac:dyDescent="0.2">
      <c r="A192" s="2">
        <v>11</v>
      </c>
      <c r="B192" s="1" t="s">
        <v>125</v>
      </c>
      <c r="C192" s="4">
        <v>52</v>
      </c>
      <c r="D192" s="8">
        <v>1.96</v>
      </c>
      <c r="E192" s="4">
        <v>14</v>
      </c>
      <c r="F192" s="8">
        <v>1.21</v>
      </c>
      <c r="G192" s="4">
        <v>38</v>
      </c>
      <c r="H192" s="8">
        <v>2.5499999999999998</v>
      </c>
      <c r="I192" s="4">
        <v>0</v>
      </c>
    </row>
    <row r="193" spans="1:9" x14ac:dyDescent="0.2">
      <c r="A193" s="2">
        <v>12</v>
      </c>
      <c r="B193" s="1" t="s">
        <v>133</v>
      </c>
      <c r="C193" s="4">
        <v>45</v>
      </c>
      <c r="D193" s="8">
        <v>1.69</v>
      </c>
      <c r="E193" s="4">
        <v>38</v>
      </c>
      <c r="F193" s="8">
        <v>3.27</v>
      </c>
      <c r="G193" s="4">
        <v>7</v>
      </c>
      <c r="H193" s="8">
        <v>0.47</v>
      </c>
      <c r="I193" s="4">
        <v>0</v>
      </c>
    </row>
    <row r="194" spans="1:9" x14ac:dyDescent="0.2">
      <c r="A194" s="2">
        <v>13</v>
      </c>
      <c r="B194" s="1" t="s">
        <v>159</v>
      </c>
      <c r="C194" s="4">
        <v>43</v>
      </c>
      <c r="D194" s="8">
        <v>1.62</v>
      </c>
      <c r="E194" s="4">
        <v>8</v>
      </c>
      <c r="F194" s="8">
        <v>0.69</v>
      </c>
      <c r="G194" s="4">
        <v>35</v>
      </c>
      <c r="H194" s="8">
        <v>2.35</v>
      </c>
      <c r="I194" s="4">
        <v>0</v>
      </c>
    </row>
    <row r="195" spans="1:9" x14ac:dyDescent="0.2">
      <c r="A195" s="2">
        <v>13</v>
      </c>
      <c r="B195" s="1" t="s">
        <v>131</v>
      </c>
      <c r="C195" s="4">
        <v>43</v>
      </c>
      <c r="D195" s="8">
        <v>1.62</v>
      </c>
      <c r="E195" s="4">
        <v>2</v>
      </c>
      <c r="F195" s="8">
        <v>0.17</v>
      </c>
      <c r="G195" s="4">
        <v>41</v>
      </c>
      <c r="H195" s="8">
        <v>2.76</v>
      </c>
      <c r="I195" s="4">
        <v>0</v>
      </c>
    </row>
    <row r="196" spans="1:9" x14ac:dyDescent="0.2">
      <c r="A196" s="2">
        <v>13</v>
      </c>
      <c r="B196" s="1" t="s">
        <v>143</v>
      </c>
      <c r="C196" s="4">
        <v>43</v>
      </c>
      <c r="D196" s="8">
        <v>1.62</v>
      </c>
      <c r="E196" s="4">
        <v>2</v>
      </c>
      <c r="F196" s="8">
        <v>0.17</v>
      </c>
      <c r="G196" s="4">
        <v>41</v>
      </c>
      <c r="H196" s="8">
        <v>2.76</v>
      </c>
      <c r="I196" s="4">
        <v>0</v>
      </c>
    </row>
    <row r="197" spans="1:9" x14ac:dyDescent="0.2">
      <c r="A197" s="2">
        <v>16</v>
      </c>
      <c r="B197" s="1" t="s">
        <v>150</v>
      </c>
      <c r="C197" s="4">
        <v>39</v>
      </c>
      <c r="D197" s="8">
        <v>1.47</v>
      </c>
      <c r="E197" s="4">
        <v>5</v>
      </c>
      <c r="F197" s="8">
        <v>0.43</v>
      </c>
      <c r="G197" s="4">
        <v>34</v>
      </c>
      <c r="H197" s="8">
        <v>2.2799999999999998</v>
      </c>
      <c r="I197" s="4">
        <v>0</v>
      </c>
    </row>
    <row r="198" spans="1:9" x14ac:dyDescent="0.2">
      <c r="A198" s="2">
        <v>17</v>
      </c>
      <c r="B198" s="1" t="s">
        <v>123</v>
      </c>
      <c r="C198" s="4">
        <v>36</v>
      </c>
      <c r="D198" s="8">
        <v>1.35</v>
      </c>
      <c r="E198" s="4">
        <v>6</v>
      </c>
      <c r="F198" s="8">
        <v>0.52</v>
      </c>
      <c r="G198" s="4">
        <v>30</v>
      </c>
      <c r="H198" s="8">
        <v>2.02</v>
      </c>
      <c r="I198" s="4">
        <v>0</v>
      </c>
    </row>
    <row r="199" spans="1:9" x14ac:dyDescent="0.2">
      <c r="A199" s="2">
        <v>17</v>
      </c>
      <c r="B199" s="1" t="s">
        <v>134</v>
      </c>
      <c r="C199" s="4">
        <v>36</v>
      </c>
      <c r="D199" s="8">
        <v>1.35</v>
      </c>
      <c r="E199" s="4">
        <v>31</v>
      </c>
      <c r="F199" s="8">
        <v>2.67</v>
      </c>
      <c r="G199" s="4">
        <v>5</v>
      </c>
      <c r="H199" s="8">
        <v>0.34</v>
      </c>
      <c r="I199" s="4">
        <v>0</v>
      </c>
    </row>
    <row r="200" spans="1:9" x14ac:dyDescent="0.2">
      <c r="A200" s="2">
        <v>19</v>
      </c>
      <c r="B200" s="1" t="s">
        <v>151</v>
      </c>
      <c r="C200" s="4">
        <v>35</v>
      </c>
      <c r="D200" s="8">
        <v>1.32</v>
      </c>
      <c r="E200" s="4">
        <v>17</v>
      </c>
      <c r="F200" s="8">
        <v>1.46</v>
      </c>
      <c r="G200" s="4">
        <v>18</v>
      </c>
      <c r="H200" s="8">
        <v>1.21</v>
      </c>
      <c r="I200" s="4">
        <v>0</v>
      </c>
    </row>
    <row r="201" spans="1:9" x14ac:dyDescent="0.2">
      <c r="A201" s="2">
        <v>19</v>
      </c>
      <c r="B201" s="1" t="s">
        <v>126</v>
      </c>
      <c r="C201" s="4">
        <v>35</v>
      </c>
      <c r="D201" s="8">
        <v>1.32</v>
      </c>
      <c r="E201" s="4">
        <v>17</v>
      </c>
      <c r="F201" s="8">
        <v>1.46</v>
      </c>
      <c r="G201" s="4">
        <v>18</v>
      </c>
      <c r="H201" s="8">
        <v>1.21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135</v>
      </c>
      <c r="C204" s="4">
        <v>719</v>
      </c>
      <c r="D204" s="8">
        <v>7.29</v>
      </c>
      <c r="E204" s="4">
        <v>681</v>
      </c>
      <c r="F204" s="8">
        <v>15.52</v>
      </c>
      <c r="G204" s="4">
        <v>38</v>
      </c>
      <c r="H204" s="8">
        <v>0.7</v>
      </c>
      <c r="I204" s="4">
        <v>0</v>
      </c>
    </row>
    <row r="205" spans="1:9" x14ac:dyDescent="0.2">
      <c r="A205" s="2">
        <v>2</v>
      </c>
      <c r="B205" s="1" t="s">
        <v>133</v>
      </c>
      <c r="C205" s="4">
        <v>533</v>
      </c>
      <c r="D205" s="8">
        <v>5.41</v>
      </c>
      <c r="E205" s="4">
        <v>411</v>
      </c>
      <c r="F205" s="8">
        <v>9.3699999999999992</v>
      </c>
      <c r="G205" s="4">
        <v>122</v>
      </c>
      <c r="H205" s="8">
        <v>2.25</v>
      </c>
      <c r="I205" s="4">
        <v>0</v>
      </c>
    </row>
    <row r="206" spans="1:9" x14ac:dyDescent="0.2">
      <c r="A206" s="2">
        <v>3</v>
      </c>
      <c r="B206" s="1" t="s">
        <v>132</v>
      </c>
      <c r="C206" s="4">
        <v>410</v>
      </c>
      <c r="D206" s="8">
        <v>4.16</v>
      </c>
      <c r="E206" s="4">
        <v>122</v>
      </c>
      <c r="F206" s="8">
        <v>2.78</v>
      </c>
      <c r="G206" s="4">
        <v>288</v>
      </c>
      <c r="H206" s="8">
        <v>5.3</v>
      </c>
      <c r="I206" s="4">
        <v>0</v>
      </c>
    </row>
    <row r="207" spans="1:9" x14ac:dyDescent="0.2">
      <c r="A207" s="2">
        <v>4</v>
      </c>
      <c r="B207" s="1" t="s">
        <v>134</v>
      </c>
      <c r="C207" s="4">
        <v>330</v>
      </c>
      <c r="D207" s="8">
        <v>3.35</v>
      </c>
      <c r="E207" s="4">
        <v>285</v>
      </c>
      <c r="F207" s="8">
        <v>6.5</v>
      </c>
      <c r="G207" s="4">
        <v>45</v>
      </c>
      <c r="H207" s="8">
        <v>0.83</v>
      </c>
      <c r="I207" s="4">
        <v>0</v>
      </c>
    </row>
    <row r="208" spans="1:9" x14ac:dyDescent="0.2">
      <c r="A208" s="2">
        <v>5</v>
      </c>
      <c r="B208" s="1" t="s">
        <v>129</v>
      </c>
      <c r="C208" s="4">
        <v>260</v>
      </c>
      <c r="D208" s="8">
        <v>2.64</v>
      </c>
      <c r="E208" s="4">
        <v>134</v>
      </c>
      <c r="F208" s="8">
        <v>3.05</v>
      </c>
      <c r="G208" s="4">
        <v>125</v>
      </c>
      <c r="H208" s="8">
        <v>2.2999999999999998</v>
      </c>
      <c r="I208" s="4">
        <v>1</v>
      </c>
    </row>
    <row r="209" spans="1:9" x14ac:dyDescent="0.2">
      <c r="A209" s="2">
        <v>6</v>
      </c>
      <c r="B209" s="1" t="s">
        <v>138</v>
      </c>
      <c r="C209" s="4">
        <v>257</v>
      </c>
      <c r="D209" s="8">
        <v>2.61</v>
      </c>
      <c r="E209" s="4">
        <v>210</v>
      </c>
      <c r="F209" s="8">
        <v>4.79</v>
      </c>
      <c r="G209" s="4">
        <v>47</v>
      </c>
      <c r="H209" s="8">
        <v>0.86</v>
      </c>
      <c r="I209" s="4">
        <v>0</v>
      </c>
    </row>
    <row r="210" spans="1:9" x14ac:dyDescent="0.2">
      <c r="A210" s="2">
        <v>7</v>
      </c>
      <c r="B210" s="1" t="s">
        <v>125</v>
      </c>
      <c r="C210" s="4">
        <v>254</v>
      </c>
      <c r="D210" s="8">
        <v>2.58</v>
      </c>
      <c r="E210" s="4">
        <v>95</v>
      </c>
      <c r="F210" s="8">
        <v>2.17</v>
      </c>
      <c r="G210" s="4">
        <v>159</v>
      </c>
      <c r="H210" s="8">
        <v>2.93</v>
      </c>
      <c r="I210" s="4">
        <v>0</v>
      </c>
    </row>
    <row r="211" spans="1:9" x14ac:dyDescent="0.2">
      <c r="A211" s="2">
        <v>8</v>
      </c>
      <c r="B211" s="1" t="s">
        <v>131</v>
      </c>
      <c r="C211" s="4">
        <v>237</v>
      </c>
      <c r="D211" s="8">
        <v>2.4</v>
      </c>
      <c r="E211" s="4">
        <v>32</v>
      </c>
      <c r="F211" s="8">
        <v>0.73</v>
      </c>
      <c r="G211" s="4">
        <v>205</v>
      </c>
      <c r="H211" s="8">
        <v>3.77</v>
      </c>
      <c r="I211" s="4">
        <v>0</v>
      </c>
    </row>
    <row r="212" spans="1:9" x14ac:dyDescent="0.2">
      <c r="A212" s="2">
        <v>9</v>
      </c>
      <c r="B212" s="1" t="s">
        <v>163</v>
      </c>
      <c r="C212" s="4">
        <v>236</v>
      </c>
      <c r="D212" s="8">
        <v>2.39</v>
      </c>
      <c r="E212" s="4">
        <v>220</v>
      </c>
      <c r="F212" s="8">
        <v>5.01</v>
      </c>
      <c r="G212" s="4">
        <v>16</v>
      </c>
      <c r="H212" s="8">
        <v>0.28999999999999998</v>
      </c>
      <c r="I212" s="4">
        <v>0</v>
      </c>
    </row>
    <row r="213" spans="1:9" x14ac:dyDescent="0.2">
      <c r="A213" s="2">
        <v>10</v>
      </c>
      <c r="B213" s="1" t="s">
        <v>136</v>
      </c>
      <c r="C213" s="4">
        <v>233</v>
      </c>
      <c r="D213" s="8">
        <v>2.36</v>
      </c>
      <c r="E213" s="4">
        <v>195</v>
      </c>
      <c r="F213" s="8">
        <v>4.4400000000000004</v>
      </c>
      <c r="G213" s="4">
        <v>38</v>
      </c>
      <c r="H213" s="8">
        <v>0.7</v>
      </c>
      <c r="I213" s="4">
        <v>0</v>
      </c>
    </row>
    <row r="214" spans="1:9" x14ac:dyDescent="0.2">
      <c r="A214" s="2">
        <v>11</v>
      </c>
      <c r="B214" s="1" t="s">
        <v>162</v>
      </c>
      <c r="C214" s="4">
        <v>214</v>
      </c>
      <c r="D214" s="8">
        <v>2.17</v>
      </c>
      <c r="E214" s="4">
        <v>202</v>
      </c>
      <c r="F214" s="8">
        <v>4.5999999999999996</v>
      </c>
      <c r="G214" s="4">
        <v>12</v>
      </c>
      <c r="H214" s="8">
        <v>0.22</v>
      </c>
      <c r="I214" s="4">
        <v>0</v>
      </c>
    </row>
    <row r="215" spans="1:9" x14ac:dyDescent="0.2">
      <c r="A215" s="2">
        <v>12</v>
      </c>
      <c r="B215" s="1" t="s">
        <v>144</v>
      </c>
      <c r="C215" s="4">
        <v>204</v>
      </c>
      <c r="D215" s="8">
        <v>2.0699999999999998</v>
      </c>
      <c r="E215" s="4">
        <v>50</v>
      </c>
      <c r="F215" s="8">
        <v>1.1399999999999999</v>
      </c>
      <c r="G215" s="4">
        <v>154</v>
      </c>
      <c r="H215" s="8">
        <v>2.83</v>
      </c>
      <c r="I215" s="4">
        <v>0</v>
      </c>
    </row>
    <row r="216" spans="1:9" x14ac:dyDescent="0.2">
      <c r="A216" s="2">
        <v>13</v>
      </c>
      <c r="B216" s="1" t="s">
        <v>141</v>
      </c>
      <c r="C216" s="4">
        <v>182</v>
      </c>
      <c r="D216" s="8">
        <v>1.85</v>
      </c>
      <c r="E216" s="4">
        <v>152</v>
      </c>
      <c r="F216" s="8">
        <v>3.46</v>
      </c>
      <c r="G216" s="4">
        <v>29</v>
      </c>
      <c r="H216" s="8">
        <v>0.53</v>
      </c>
      <c r="I216" s="4">
        <v>1</v>
      </c>
    </row>
    <row r="217" spans="1:9" x14ac:dyDescent="0.2">
      <c r="A217" s="2">
        <v>14</v>
      </c>
      <c r="B217" s="1" t="s">
        <v>130</v>
      </c>
      <c r="C217" s="4">
        <v>181</v>
      </c>
      <c r="D217" s="8">
        <v>1.84</v>
      </c>
      <c r="E217" s="4">
        <v>19</v>
      </c>
      <c r="F217" s="8">
        <v>0.43</v>
      </c>
      <c r="G217" s="4">
        <v>162</v>
      </c>
      <c r="H217" s="8">
        <v>2.98</v>
      </c>
      <c r="I217" s="4">
        <v>0</v>
      </c>
    </row>
    <row r="218" spans="1:9" x14ac:dyDescent="0.2">
      <c r="A218" s="2">
        <v>15</v>
      </c>
      <c r="B218" s="1" t="s">
        <v>140</v>
      </c>
      <c r="C218" s="4">
        <v>165</v>
      </c>
      <c r="D218" s="8">
        <v>1.67</v>
      </c>
      <c r="E218" s="4">
        <v>102</v>
      </c>
      <c r="F218" s="8">
        <v>2.33</v>
      </c>
      <c r="G218" s="4">
        <v>62</v>
      </c>
      <c r="H218" s="8">
        <v>1.1399999999999999</v>
      </c>
      <c r="I218" s="4">
        <v>1</v>
      </c>
    </row>
    <row r="219" spans="1:9" x14ac:dyDescent="0.2">
      <c r="A219" s="2">
        <v>16</v>
      </c>
      <c r="B219" s="1" t="s">
        <v>161</v>
      </c>
      <c r="C219" s="4">
        <v>163</v>
      </c>
      <c r="D219" s="8">
        <v>1.65</v>
      </c>
      <c r="E219" s="4">
        <v>59</v>
      </c>
      <c r="F219" s="8">
        <v>1.34</v>
      </c>
      <c r="G219" s="4">
        <v>104</v>
      </c>
      <c r="H219" s="8">
        <v>1.91</v>
      </c>
      <c r="I219" s="4">
        <v>0</v>
      </c>
    </row>
    <row r="220" spans="1:9" x14ac:dyDescent="0.2">
      <c r="A220" s="2">
        <v>17</v>
      </c>
      <c r="B220" s="1" t="s">
        <v>160</v>
      </c>
      <c r="C220" s="4">
        <v>155</v>
      </c>
      <c r="D220" s="8">
        <v>1.57</v>
      </c>
      <c r="E220" s="4">
        <v>19</v>
      </c>
      <c r="F220" s="8">
        <v>0.43</v>
      </c>
      <c r="G220" s="4">
        <v>136</v>
      </c>
      <c r="H220" s="8">
        <v>2.5</v>
      </c>
      <c r="I220" s="4">
        <v>0</v>
      </c>
    </row>
    <row r="221" spans="1:9" x14ac:dyDescent="0.2">
      <c r="A221" s="2">
        <v>18</v>
      </c>
      <c r="B221" s="1" t="s">
        <v>148</v>
      </c>
      <c r="C221" s="4">
        <v>140</v>
      </c>
      <c r="D221" s="8">
        <v>1.42</v>
      </c>
      <c r="E221" s="4">
        <v>14</v>
      </c>
      <c r="F221" s="8">
        <v>0.32</v>
      </c>
      <c r="G221" s="4">
        <v>121</v>
      </c>
      <c r="H221" s="8">
        <v>2.23</v>
      </c>
      <c r="I221" s="4">
        <v>5</v>
      </c>
    </row>
    <row r="222" spans="1:9" x14ac:dyDescent="0.2">
      <c r="A222" s="2">
        <v>19</v>
      </c>
      <c r="B222" s="1" t="s">
        <v>149</v>
      </c>
      <c r="C222" s="4">
        <v>134</v>
      </c>
      <c r="D222" s="8">
        <v>1.36</v>
      </c>
      <c r="E222" s="4">
        <v>9</v>
      </c>
      <c r="F222" s="8">
        <v>0.21</v>
      </c>
      <c r="G222" s="4">
        <v>122</v>
      </c>
      <c r="H222" s="8">
        <v>2.25</v>
      </c>
      <c r="I222" s="4">
        <v>3</v>
      </c>
    </row>
    <row r="223" spans="1:9" x14ac:dyDescent="0.2">
      <c r="A223" s="2">
        <v>20</v>
      </c>
      <c r="B223" s="1" t="s">
        <v>143</v>
      </c>
      <c r="C223" s="4">
        <v>131</v>
      </c>
      <c r="D223" s="8">
        <v>1.33</v>
      </c>
      <c r="E223" s="4">
        <v>10</v>
      </c>
      <c r="F223" s="8">
        <v>0.23</v>
      </c>
      <c r="G223" s="4">
        <v>118</v>
      </c>
      <c r="H223" s="8">
        <v>2.17</v>
      </c>
      <c r="I223" s="4">
        <v>3</v>
      </c>
    </row>
    <row r="224" spans="1:9" x14ac:dyDescent="0.2">
      <c r="A224" s="1"/>
      <c r="C224" s="4"/>
      <c r="D224" s="8"/>
      <c r="E224" s="4"/>
      <c r="F224" s="8"/>
      <c r="G224" s="4"/>
      <c r="H224" s="8"/>
      <c r="I224" s="4"/>
    </row>
    <row r="225" spans="1:9" x14ac:dyDescent="0.2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2">
      <c r="A226" s="2">
        <v>1</v>
      </c>
      <c r="B226" s="1" t="s">
        <v>132</v>
      </c>
      <c r="C226" s="4">
        <v>162</v>
      </c>
      <c r="D226" s="8">
        <v>5.28</v>
      </c>
      <c r="E226" s="4">
        <v>53</v>
      </c>
      <c r="F226" s="8">
        <v>5.08</v>
      </c>
      <c r="G226" s="4">
        <v>109</v>
      </c>
      <c r="H226" s="8">
        <v>5.41</v>
      </c>
      <c r="I226" s="4">
        <v>0</v>
      </c>
    </row>
    <row r="227" spans="1:9" x14ac:dyDescent="0.2">
      <c r="A227" s="2">
        <v>2</v>
      </c>
      <c r="B227" s="1" t="s">
        <v>138</v>
      </c>
      <c r="C227" s="4">
        <v>93</v>
      </c>
      <c r="D227" s="8">
        <v>3.03</v>
      </c>
      <c r="E227" s="4">
        <v>83</v>
      </c>
      <c r="F227" s="8">
        <v>7.95</v>
      </c>
      <c r="G227" s="4">
        <v>10</v>
      </c>
      <c r="H227" s="8">
        <v>0.5</v>
      </c>
      <c r="I227" s="4">
        <v>0</v>
      </c>
    </row>
    <row r="228" spans="1:9" x14ac:dyDescent="0.2">
      <c r="A228" s="2">
        <v>3</v>
      </c>
      <c r="B228" s="1" t="s">
        <v>127</v>
      </c>
      <c r="C228" s="4">
        <v>84</v>
      </c>
      <c r="D228" s="8">
        <v>2.74</v>
      </c>
      <c r="E228" s="4">
        <v>46</v>
      </c>
      <c r="F228" s="8">
        <v>4.41</v>
      </c>
      <c r="G228" s="4">
        <v>38</v>
      </c>
      <c r="H228" s="8">
        <v>1.89</v>
      </c>
      <c r="I228" s="4">
        <v>0</v>
      </c>
    </row>
    <row r="229" spans="1:9" x14ac:dyDescent="0.2">
      <c r="A229" s="2">
        <v>4</v>
      </c>
      <c r="B229" s="1" t="s">
        <v>131</v>
      </c>
      <c r="C229" s="4">
        <v>79</v>
      </c>
      <c r="D229" s="8">
        <v>2.57</v>
      </c>
      <c r="E229" s="4">
        <v>10</v>
      </c>
      <c r="F229" s="8">
        <v>0.96</v>
      </c>
      <c r="G229" s="4">
        <v>69</v>
      </c>
      <c r="H229" s="8">
        <v>3.43</v>
      </c>
      <c r="I229" s="4">
        <v>0</v>
      </c>
    </row>
    <row r="230" spans="1:9" x14ac:dyDescent="0.2">
      <c r="A230" s="2">
        <v>5</v>
      </c>
      <c r="B230" s="1" t="s">
        <v>165</v>
      </c>
      <c r="C230" s="4">
        <v>77</v>
      </c>
      <c r="D230" s="8">
        <v>2.5099999999999998</v>
      </c>
      <c r="E230" s="4">
        <v>50</v>
      </c>
      <c r="F230" s="8">
        <v>4.79</v>
      </c>
      <c r="G230" s="4">
        <v>27</v>
      </c>
      <c r="H230" s="8">
        <v>1.34</v>
      </c>
      <c r="I230" s="4">
        <v>0</v>
      </c>
    </row>
    <row r="231" spans="1:9" x14ac:dyDescent="0.2">
      <c r="A231" s="2">
        <v>6</v>
      </c>
      <c r="B231" s="1" t="s">
        <v>140</v>
      </c>
      <c r="C231" s="4">
        <v>74</v>
      </c>
      <c r="D231" s="8">
        <v>2.41</v>
      </c>
      <c r="E231" s="4">
        <v>55</v>
      </c>
      <c r="F231" s="8">
        <v>5.27</v>
      </c>
      <c r="G231" s="4">
        <v>19</v>
      </c>
      <c r="H231" s="8">
        <v>0.94</v>
      </c>
      <c r="I231" s="4">
        <v>0</v>
      </c>
    </row>
    <row r="232" spans="1:9" x14ac:dyDescent="0.2">
      <c r="A232" s="2">
        <v>7</v>
      </c>
      <c r="B232" s="1" t="s">
        <v>122</v>
      </c>
      <c r="C232" s="4">
        <v>72</v>
      </c>
      <c r="D232" s="8">
        <v>2.35</v>
      </c>
      <c r="E232" s="4">
        <v>10</v>
      </c>
      <c r="F232" s="8">
        <v>0.96</v>
      </c>
      <c r="G232" s="4">
        <v>62</v>
      </c>
      <c r="H232" s="8">
        <v>3.08</v>
      </c>
      <c r="I232" s="4">
        <v>0</v>
      </c>
    </row>
    <row r="233" spans="1:9" x14ac:dyDescent="0.2">
      <c r="A233" s="2">
        <v>8</v>
      </c>
      <c r="B233" s="1" t="s">
        <v>123</v>
      </c>
      <c r="C233" s="4">
        <v>64</v>
      </c>
      <c r="D233" s="8">
        <v>2.09</v>
      </c>
      <c r="E233" s="4">
        <v>5</v>
      </c>
      <c r="F233" s="8">
        <v>0.48</v>
      </c>
      <c r="G233" s="4">
        <v>59</v>
      </c>
      <c r="H233" s="8">
        <v>2.93</v>
      </c>
      <c r="I233" s="4">
        <v>0</v>
      </c>
    </row>
    <row r="234" spans="1:9" x14ac:dyDescent="0.2">
      <c r="A234" s="2">
        <v>9</v>
      </c>
      <c r="B234" s="1" t="s">
        <v>137</v>
      </c>
      <c r="C234" s="4">
        <v>63</v>
      </c>
      <c r="D234" s="8">
        <v>2.0499999999999998</v>
      </c>
      <c r="E234" s="4">
        <v>54</v>
      </c>
      <c r="F234" s="8">
        <v>5.17</v>
      </c>
      <c r="G234" s="4">
        <v>9</v>
      </c>
      <c r="H234" s="8">
        <v>0.45</v>
      </c>
      <c r="I234" s="4">
        <v>0</v>
      </c>
    </row>
    <row r="235" spans="1:9" x14ac:dyDescent="0.2">
      <c r="A235" s="2">
        <v>10</v>
      </c>
      <c r="B235" s="1" t="s">
        <v>159</v>
      </c>
      <c r="C235" s="4">
        <v>56</v>
      </c>
      <c r="D235" s="8">
        <v>1.82</v>
      </c>
      <c r="E235" s="4">
        <v>12</v>
      </c>
      <c r="F235" s="8">
        <v>1.1499999999999999</v>
      </c>
      <c r="G235" s="4">
        <v>44</v>
      </c>
      <c r="H235" s="8">
        <v>2.1800000000000002</v>
      </c>
      <c r="I235" s="4">
        <v>0</v>
      </c>
    </row>
    <row r="236" spans="1:9" x14ac:dyDescent="0.2">
      <c r="A236" s="2">
        <v>11</v>
      </c>
      <c r="B236" s="1" t="s">
        <v>143</v>
      </c>
      <c r="C236" s="4">
        <v>55</v>
      </c>
      <c r="D236" s="8">
        <v>1.79</v>
      </c>
      <c r="E236" s="4">
        <v>3</v>
      </c>
      <c r="F236" s="8">
        <v>0.28999999999999998</v>
      </c>
      <c r="G236" s="4">
        <v>52</v>
      </c>
      <c r="H236" s="8">
        <v>2.58</v>
      </c>
      <c r="I236" s="4">
        <v>0</v>
      </c>
    </row>
    <row r="237" spans="1:9" x14ac:dyDescent="0.2">
      <c r="A237" s="2">
        <v>11</v>
      </c>
      <c r="B237" s="1" t="s">
        <v>141</v>
      </c>
      <c r="C237" s="4">
        <v>55</v>
      </c>
      <c r="D237" s="8">
        <v>1.79</v>
      </c>
      <c r="E237" s="4">
        <v>47</v>
      </c>
      <c r="F237" s="8">
        <v>4.5</v>
      </c>
      <c r="G237" s="4">
        <v>8</v>
      </c>
      <c r="H237" s="8">
        <v>0.4</v>
      </c>
      <c r="I237" s="4">
        <v>0</v>
      </c>
    </row>
    <row r="238" spans="1:9" x14ac:dyDescent="0.2">
      <c r="A238" s="2">
        <v>13</v>
      </c>
      <c r="B238" s="1" t="s">
        <v>150</v>
      </c>
      <c r="C238" s="4">
        <v>52</v>
      </c>
      <c r="D238" s="8">
        <v>1.69</v>
      </c>
      <c r="E238" s="4">
        <v>8</v>
      </c>
      <c r="F238" s="8">
        <v>0.77</v>
      </c>
      <c r="G238" s="4">
        <v>44</v>
      </c>
      <c r="H238" s="8">
        <v>2.1800000000000002</v>
      </c>
      <c r="I238" s="4">
        <v>0</v>
      </c>
    </row>
    <row r="239" spans="1:9" x14ac:dyDescent="0.2">
      <c r="A239" s="2">
        <v>14</v>
      </c>
      <c r="B239" s="1" t="s">
        <v>124</v>
      </c>
      <c r="C239" s="4">
        <v>49</v>
      </c>
      <c r="D239" s="8">
        <v>1.6</v>
      </c>
      <c r="E239" s="4">
        <v>9</v>
      </c>
      <c r="F239" s="8">
        <v>0.86</v>
      </c>
      <c r="G239" s="4">
        <v>40</v>
      </c>
      <c r="H239" s="8">
        <v>1.99</v>
      </c>
      <c r="I239" s="4">
        <v>0</v>
      </c>
    </row>
    <row r="240" spans="1:9" x14ac:dyDescent="0.2">
      <c r="A240" s="2">
        <v>15</v>
      </c>
      <c r="B240" s="1" t="s">
        <v>129</v>
      </c>
      <c r="C240" s="4">
        <v>48</v>
      </c>
      <c r="D240" s="8">
        <v>1.56</v>
      </c>
      <c r="E240" s="4">
        <v>29</v>
      </c>
      <c r="F240" s="8">
        <v>2.78</v>
      </c>
      <c r="G240" s="4">
        <v>19</v>
      </c>
      <c r="H240" s="8">
        <v>0.94</v>
      </c>
      <c r="I240" s="4">
        <v>0</v>
      </c>
    </row>
    <row r="241" spans="1:9" x14ac:dyDescent="0.2">
      <c r="A241" s="2">
        <v>16</v>
      </c>
      <c r="B241" s="1" t="s">
        <v>139</v>
      </c>
      <c r="C241" s="4">
        <v>46</v>
      </c>
      <c r="D241" s="8">
        <v>1.5</v>
      </c>
      <c r="E241" s="4">
        <v>28</v>
      </c>
      <c r="F241" s="8">
        <v>2.68</v>
      </c>
      <c r="G241" s="4">
        <v>18</v>
      </c>
      <c r="H241" s="8">
        <v>0.89</v>
      </c>
      <c r="I241" s="4">
        <v>0</v>
      </c>
    </row>
    <row r="242" spans="1:9" x14ac:dyDescent="0.2">
      <c r="A242" s="2">
        <v>17</v>
      </c>
      <c r="B242" s="1" t="s">
        <v>164</v>
      </c>
      <c r="C242" s="4">
        <v>45</v>
      </c>
      <c r="D242" s="8">
        <v>1.47</v>
      </c>
      <c r="E242" s="4">
        <v>15</v>
      </c>
      <c r="F242" s="8">
        <v>1.44</v>
      </c>
      <c r="G242" s="4">
        <v>30</v>
      </c>
      <c r="H242" s="8">
        <v>1.49</v>
      </c>
      <c r="I242" s="4">
        <v>0</v>
      </c>
    </row>
    <row r="243" spans="1:9" x14ac:dyDescent="0.2">
      <c r="A243" s="2">
        <v>18</v>
      </c>
      <c r="B243" s="1" t="s">
        <v>136</v>
      </c>
      <c r="C243" s="4">
        <v>44</v>
      </c>
      <c r="D243" s="8">
        <v>1.43</v>
      </c>
      <c r="E243" s="4">
        <v>40</v>
      </c>
      <c r="F243" s="8">
        <v>3.83</v>
      </c>
      <c r="G243" s="4">
        <v>4</v>
      </c>
      <c r="H243" s="8">
        <v>0.2</v>
      </c>
      <c r="I243" s="4">
        <v>0</v>
      </c>
    </row>
    <row r="244" spans="1:9" x14ac:dyDescent="0.2">
      <c r="A244" s="2">
        <v>19</v>
      </c>
      <c r="B244" s="1" t="s">
        <v>133</v>
      </c>
      <c r="C244" s="4">
        <v>41</v>
      </c>
      <c r="D244" s="8">
        <v>1.34</v>
      </c>
      <c r="E244" s="4">
        <v>29</v>
      </c>
      <c r="F244" s="8">
        <v>2.78</v>
      </c>
      <c r="G244" s="4">
        <v>12</v>
      </c>
      <c r="H244" s="8">
        <v>0.6</v>
      </c>
      <c r="I244" s="4">
        <v>0</v>
      </c>
    </row>
    <row r="245" spans="1:9" x14ac:dyDescent="0.2">
      <c r="A245" s="2">
        <v>20</v>
      </c>
      <c r="B245" s="1" t="s">
        <v>144</v>
      </c>
      <c r="C245" s="4">
        <v>36</v>
      </c>
      <c r="D245" s="8">
        <v>1.17</v>
      </c>
      <c r="E245" s="4">
        <v>10</v>
      </c>
      <c r="F245" s="8">
        <v>0.96</v>
      </c>
      <c r="G245" s="4">
        <v>25</v>
      </c>
      <c r="H245" s="8">
        <v>1.24</v>
      </c>
      <c r="I245" s="4">
        <v>0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138</v>
      </c>
      <c r="C248" s="4">
        <v>685</v>
      </c>
      <c r="D248" s="8">
        <v>5.45</v>
      </c>
      <c r="E248" s="4">
        <v>610</v>
      </c>
      <c r="F248" s="8">
        <v>9.1999999999999993</v>
      </c>
      <c r="G248" s="4">
        <v>75</v>
      </c>
      <c r="H248" s="8">
        <v>1.29</v>
      </c>
      <c r="I248" s="4">
        <v>0</v>
      </c>
    </row>
    <row r="249" spans="1:9" x14ac:dyDescent="0.2">
      <c r="A249" s="2">
        <v>2</v>
      </c>
      <c r="B249" s="1" t="s">
        <v>132</v>
      </c>
      <c r="C249" s="4">
        <v>394</v>
      </c>
      <c r="D249" s="8">
        <v>3.13</v>
      </c>
      <c r="E249" s="4">
        <v>188</v>
      </c>
      <c r="F249" s="8">
        <v>2.84</v>
      </c>
      <c r="G249" s="4">
        <v>205</v>
      </c>
      <c r="H249" s="8">
        <v>3.52</v>
      </c>
      <c r="I249" s="4">
        <v>1</v>
      </c>
    </row>
    <row r="250" spans="1:9" x14ac:dyDescent="0.2">
      <c r="A250" s="2">
        <v>3</v>
      </c>
      <c r="B250" s="1" t="s">
        <v>136</v>
      </c>
      <c r="C250" s="4">
        <v>348</v>
      </c>
      <c r="D250" s="8">
        <v>2.77</v>
      </c>
      <c r="E250" s="4">
        <v>322</v>
      </c>
      <c r="F250" s="8">
        <v>4.8600000000000003</v>
      </c>
      <c r="G250" s="4">
        <v>26</v>
      </c>
      <c r="H250" s="8">
        <v>0.45</v>
      </c>
      <c r="I250" s="4">
        <v>0</v>
      </c>
    </row>
    <row r="251" spans="1:9" x14ac:dyDescent="0.2">
      <c r="A251" s="2">
        <v>4</v>
      </c>
      <c r="B251" s="1" t="s">
        <v>122</v>
      </c>
      <c r="C251" s="4">
        <v>340</v>
      </c>
      <c r="D251" s="8">
        <v>2.7</v>
      </c>
      <c r="E251" s="4">
        <v>55</v>
      </c>
      <c r="F251" s="8">
        <v>0.83</v>
      </c>
      <c r="G251" s="4">
        <v>285</v>
      </c>
      <c r="H251" s="8">
        <v>4.9000000000000004</v>
      </c>
      <c r="I251" s="4">
        <v>0</v>
      </c>
    </row>
    <row r="252" spans="1:9" x14ac:dyDescent="0.2">
      <c r="A252" s="2">
        <v>5</v>
      </c>
      <c r="B252" s="1" t="s">
        <v>135</v>
      </c>
      <c r="C252" s="4">
        <v>319</v>
      </c>
      <c r="D252" s="8">
        <v>2.54</v>
      </c>
      <c r="E252" s="4">
        <v>313</v>
      </c>
      <c r="F252" s="8">
        <v>4.72</v>
      </c>
      <c r="G252" s="4">
        <v>6</v>
      </c>
      <c r="H252" s="8">
        <v>0.1</v>
      </c>
      <c r="I252" s="4">
        <v>0</v>
      </c>
    </row>
    <row r="253" spans="1:9" x14ac:dyDescent="0.2">
      <c r="A253" s="2">
        <v>5</v>
      </c>
      <c r="B253" s="1" t="s">
        <v>140</v>
      </c>
      <c r="C253" s="4">
        <v>319</v>
      </c>
      <c r="D253" s="8">
        <v>2.54</v>
      </c>
      <c r="E253" s="4">
        <v>250</v>
      </c>
      <c r="F253" s="8">
        <v>3.77</v>
      </c>
      <c r="G253" s="4">
        <v>69</v>
      </c>
      <c r="H253" s="8">
        <v>1.19</v>
      </c>
      <c r="I253" s="4">
        <v>0</v>
      </c>
    </row>
    <row r="254" spans="1:9" x14ac:dyDescent="0.2">
      <c r="A254" s="2">
        <v>7</v>
      </c>
      <c r="B254" s="1" t="s">
        <v>137</v>
      </c>
      <c r="C254" s="4">
        <v>318</v>
      </c>
      <c r="D254" s="8">
        <v>2.5299999999999998</v>
      </c>
      <c r="E254" s="4">
        <v>307</v>
      </c>
      <c r="F254" s="8">
        <v>4.63</v>
      </c>
      <c r="G254" s="4">
        <v>11</v>
      </c>
      <c r="H254" s="8">
        <v>0.19</v>
      </c>
      <c r="I254" s="4">
        <v>0</v>
      </c>
    </row>
    <row r="255" spans="1:9" x14ac:dyDescent="0.2">
      <c r="A255" s="2">
        <v>8</v>
      </c>
      <c r="B255" s="1" t="s">
        <v>133</v>
      </c>
      <c r="C255" s="4">
        <v>284</v>
      </c>
      <c r="D255" s="8">
        <v>2.2599999999999998</v>
      </c>
      <c r="E255" s="4">
        <v>243</v>
      </c>
      <c r="F255" s="8">
        <v>3.67</v>
      </c>
      <c r="G255" s="4">
        <v>39</v>
      </c>
      <c r="H255" s="8">
        <v>0.67</v>
      </c>
      <c r="I255" s="4">
        <v>2</v>
      </c>
    </row>
    <row r="256" spans="1:9" x14ac:dyDescent="0.2">
      <c r="A256" s="2">
        <v>9</v>
      </c>
      <c r="B256" s="1" t="s">
        <v>129</v>
      </c>
      <c r="C256" s="4">
        <v>277</v>
      </c>
      <c r="D256" s="8">
        <v>2.2000000000000002</v>
      </c>
      <c r="E256" s="4">
        <v>197</v>
      </c>
      <c r="F256" s="8">
        <v>2.97</v>
      </c>
      <c r="G256" s="4">
        <v>80</v>
      </c>
      <c r="H256" s="8">
        <v>1.38</v>
      </c>
      <c r="I256" s="4">
        <v>0</v>
      </c>
    </row>
    <row r="257" spans="1:9" x14ac:dyDescent="0.2">
      <c r="A257" s="2">
        <v>10</v>
      </c>
      <c r="B257" s="1" t="s">
        <v>141</v>
      </c>
      <c r="C257" s="4">
        <v>276</v>
      </c>
      <c r="D257" s="8">
        <v>2.2000000000000002</v>
      </c>
      <c r="E257" s="4">
        <v>259</v>
      </c>
      <c r="F257" s="8">
        <v>3.91</v>
      </c>
      <c r="G257" s="4">
        <v>17</v>
      </c>
      <c r="H257" s="8">
        <v>0.28999999999999998</v>
      </c>
      <c r="I257" s="4">
        <v>0</v>
      </c>
    </row>
    <row r="258" spans="1:9" x14ac:dyDescent="0.2">
      <c r="A258" s="2">
        <v>11</v>
      </c>
      <c r="B258" s="1" t="s">
        <v>134</v>
      </c>
      <c r="C258" s="4">
        <v>262</v>
      </c>
      <c r="D258" s="8">
        <v>2.08</v>
      </c>
      <c r="E258" s="4">
        <v>245</v>
      </c>
      <c r="F258" s="8">
        <v>3.7</v>
      </c>
      <c r="G258" s="4">
        <v>17</v>
      </c>
      <c r="H258" s="8">
        <v>0.28999999999999998</v>
      </c>
      <c r="I258" s="4">
        <v>0</v>
      </c>
    </row>
    <row r="259" spans="1:9" x14ac:dyDescent="0.2">
      <c r="A259" s="2">
        <v>12</v>
      </c>
      <c r="B259" s="1" t="s">
        <v>127</v>
      </c>
      <c r="C259" s="4">
        <v>247</v>
      </c>
      <c r="D259" s="8">
        <v>1.96</v>
      </c>
      <c r="E259" s="4">
        <v>164</v>
      </c>
      <c r="F259" s="8">
        <v>2.4700000000000002</v>
      </c>
      <c r="G259" s="4">
        <v>83</v>
      </c>
      <c r="H259" s="8">
        <v>1.43</v>
      </c>
      <c r="I259" s="4">
        <v>0</v>
      </c>
    </row>
    <row r="260" spans="1:9" x14ac:dyDescent="0.2">
      <c r="A260" s="2">
        <v>13</v>
      </c>
      <c r="B260" s="1" t="s">
        <v>139</v>
      </c>
      <c r="C260" s="4">
        <v>209</v>
      </c>
      <c r="D260" s="8">
        <v>1.66</v>
      </c>
      <c r="E260" s="4">
        <v>163</v>
      </c>
      <c r="F260" s="8">
        <v>2.46</v>
      </c>
      <c r="G260" s="4">
        <v>46</v>
      </c>
      <c r="H260" s="8">
        <v>0.79</v>
      </c>
      <c r="I260" s="4">
        <v>0</v>
      </c>
    </row>
    <row r="261" spans="1:9" x14ac:dyDescent="0.2">
      <c r="A261" s="2">
        <v>14</v>
      </c>
      <c r="B261" s="1" t="s">
        <v>131</v>
      </c>
      <c r="C261" s="4">
        <v>195</v>
      </c>
      <c r="D261" s="8">
        <v>1.55</v>
      </c>
      <c r="E261" s="4">
        <v>24</v>
      </c>
      <c r="F261" s="8">
        <v>0.36</v>
      </c>
      <c r="G261" s="4">
        <v>171</v>
      </c>
      <c r="H261" s="8">
        <v>2.94</v>
      </c>
      <c r="I261" s="4">
        <v>0</v>
      </c>
    </row>
    <row r="262" spans="1:9" x14ac:dyDescent="0.2">
      <c r="A262" s="2">
        <v>15</v>
      </c>
      <c r="B262" s="1" t="s">
        <v>123</v>
      </c>
      <c r="C262" s="4">
        <v>193</v>
      </c>
      <c r="D262" s="8">
        <v>1.54</v>
      </c>
      <c r="E262" s="4">
        <v>31</v>
      </c>
      <c r="F262" s="8">
        <v>0.47</v>
      </c>
      <c r="G262" s="4">
        <v>162</v>
      </c>
      <c r="H262" s="8">
        <v>2.79</v>
      </c>
      <c r="I262" s="4">
        <v>0</v>
      </c>
    </row>
    <row r="263" spans="1:9" x14ac:dyDescent="0.2">
      <c r="A263" s="2">
        <v>16</v>
      </c>
      <c r="B263" s="1" t="s">
        <v>125</v>
      </c>
      <c r="C263" s="4">
        <v>185</v>
      </c>
      <c r="D263" s="8">
        <v>1.47</v>
      </c>
      <c r="E263" s="4">
        <v>88</v>
      </c>
      <c r="F263" s="8">
        <v>1.33</v>
      </c>
      <c r="G263" s="4">
        <v>97</v>
      </c>
      <c r="H263" s="8">
        <v>1.67</v>
      </c>
      <c r="I263" s="4">
        <v>0</v>
      </c>
    </row>
    <row r="264" spans="1:9" x14ac:dyDescent="0.2">
      <c r="A264" s="2">
        <v>17</v>
      </c>
      <c r="B264" s="1" t="s">
        <v>124</v>
      </c>
      <c r="C264" s="4">
        <v>184</v>
      </c>
      <c r="D264" s="8">
        <v>1.46</v>
      </c>
      <c r="E264" s="4">
        <v>51</v>
      </c>
      <c r="F264" s="8">
        <v>0.77</v>
      </c>
      <c r="G264" s="4">
        <v>133</v>
      </c>
      <c r="H264" s="8">
        <v>2.29</v>
      </c>
      <c r="I264" s="4">
        <v>0</v>
      </c>
    </row>
    <row r="265" spans="1:9" x14ac:dyDescent="0.2">
      <c r="A265" s="2">
        <v>18</v>
      </c>
      <c r="B265" s="1" t="s">
        <v>165</v>
      </c>
      <c r="C265" s="4">
        <v>179</v>
      </c>
      <c r="D265" s="8">
        <v>1.42</v>
      </c>
      <c r="E265" s="4">
        <v>141</v>
      </c>
      <c r="F265" s="8">
        <v>2.13</v>
      </c>
      <c r="G265" s="4">
        <v>38</v>
      </c>
      <c r="H265" s="8">
        <v>0.65</v>
      </c>
      <c r="I265" s="4">
        <v>0</v>
      </c>
    </row>
    <row r="266" spans="1:9" x14ac:dyDescent="0.2">
      <c r="A266" s="2">
        <v>19</v>
      </c>
      <c r="B266" s="1" t="s">
        <v>144</v>
      </c>
      <c r="C266" s="4">
        <v>176</v>
      </c>
      <c r="D266" s="8">
        <v>1.4</v>
      </c>
      <c r="E266" s="4">
        <v>69</v>
      </c>
      <c r="F266" s="8">
        <v>1.04</v>
      </c>
      <c r="G266" s="4">
        <v>106</v>
      </c>
      <c r="H266" s="8">
        <v>1.82</v>
      </c>
      <c r="I266" s="4">
        <v>0</v>
      </c>
    </row>
    <row r="267" spans="1:9" x14ac:dyDescent="0.2">
      <c r="A267" s="2">
        <v>20</v>
      </c>
      <c r="B267" s="1" t="s">
        <v>130</v>
      </c>
      <c r="C267" s="4">
        <v>175</v>
      </c>
      <c r="D267" s="8">
        <v>1.39</v>
      </c>
      <c r="E267" s="4">
        <v>34</v>
      </c>
      <c r="F267" s="8">
        <v>0.51</v>
      </c>
      <c r="G267" s="4">
        <v>141</v>
      </c>
      <c r="H267" s="8">
        <v>2.42</v>
      </c>
      <c r="I267" s="4">
        <v>0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132</v>
      </c>
      <c r="C270" s="4">
        <v>507</v>
      </c>
      <c r="D270" s="8">
        <v>5.28</v>
      </c>
      <c r="E270" s="4">
        <v>154</v>
      </c>
      <c r="F270" s="8">
        <v>3.18</v>
      </c>
      <c r="G270" s="4">
        <v>352</v>
      </c>
      <c r="H270" s="8">
        <v>7.56</v>
      </c>
      <c r="I270" s="4">
        <v>1</v>
      </c>
    </row>
    <row r="271" spans="1:9" x14ac:dyDescent="0.2">
      <c r="A271" s="2">
        <v>2</v>
      </c>
      <c r="B271" s="1" t="s">
        <v>138</v>
      </c>
      <c r="C271" s="4">
        <v>449</v>
      </c>
      <c r="D271" s="8">
        <v>4.67</v>
      </c>
      <c r="E271" s="4">
        <v>393</v>
      </c>
      <c r="F271" s="8">
        <v>8.11</v>
      </c>
      <c r="G271" s="4">
        <v>56</v>
      </c>
      <c r="H271" s="8">
        <v>1.2</v>
      </c>
      <c r="I271" s="4">
        <v>0</v>
      </c>
    </row>
    <row r="272" spans="1:9" x14ac:dyDescent="0.2">
      <c r="A272" s="2">
        <v>3</v>
      </c>
      <c r="B272" s="1" t="s">
        <v>134</v>
      </c>
      <c r="C272" s="4">
        <v>343</v>
      </c>
      <c r="D272" s="8">
        <v>3.57</v>
      </c>
      <c r="E272" s="4">
        <v>323</v>
      </c>
      <c r="F272" s="8">
        <v>6.67</v>
      </c>
      <c r="G272" s="4">
        <v>20</v>
      </c>
      <c r="H272" s="8">
        <v>0.43</v>
      </c>
      <c r="I272" s="4">
        <v>0</v>
      </c>
    </row>
    <row r="273" spans="1:9" x14ac:dyDescent="0.2">
      <c r="A273" s="2">
        <v>4</v>
      </c>
      <c r="B273" s="1" t="s">
        <v>136</v>
      </c>
      <c r="C273" s="4">
        <v>300</v>
      </c>
      <c r="D273" s="8">
        <v>3.12</v>
      </c>
      <c r="E273" s="4">
        <v>288</v>
      </c>
      <c r="F273" s="8">
        <v>5.94</v>
      </c>
      <c r="G273" s="4">
        <v>11</v>
      </c>
      <c r="H273" s="8">
        <v>0.24</v>
      </c>
      <c r="I273" s="4">
        <v>1</v>
      </c>
    </row>
    <row r="274" spans="1:9" x14ac:dyDescent="0.2">
      <c r="A274" s="2">
        <v>5</v>
      </c>
      <c r="B274" s="1" t="s">
        <v>141</v>
      </c>
      <c r="C274" s="4">
        <v>287</v>
      </c>
      <c r="D274" s="8">
        <v>2.99</v>
      </c>
      <c r="E274" s="4">
        <v>256</v>
      </c>
      <c r="F274" s="8">
        <v>5.28</v>
      </c>
      <c r="G274" s="4">
        <v>31</v>
      </c>
      <c r="H274" s="8">
        <v>0.67</v>
      </c>
      <c r="I274" s="4">
        <v>0</v>
      </c>
    </row>
    <row r="275" spans="1:9" x14ac:dyDescent="0.2">
      <c r="A275" s="2">
        <v>6</v>
      </c>
      <c r="B275" s="1" t="s">
        <v>137</v>
      </c>
      <c r="C275" s="4">
        <v>235</v>
      </c>
      <c r="D275" s="8">
        <v>2.4500000000000002</v>
      </c>
      <c r="E275" s="4">
        <v>227</v>
      </c>
      <c r="F275" s="8">
        <v>4.6900000000000004</v>
      </c>
      <c r="G275" s="4">
        <v>8</v>
      </c>
      <c r="H275" s="8">
        <v>0.17</v>
      </c>
      <c r="I275" s="4">
        <v>0</v>
      </c>
    </row>
    <row r="276" spans="1:9" x14ac:dyDescent="0.2">
      <c r="A276" s="2">
        <v>7</v>
      </c>
      <c r="B276" s="1" t="s">
        <v>133</v>
      </c>
      <c r="C276" s="4">
        <v>227</v>
      </c>
      <c r="D276" s="8">
        <v>2.36</v>
      </c>
      <c r="E276" s="4">
        <v>202</v>
      </c>
      <c r="F276" s="8">
        <v>4.17</v>
      </c>
      <c r="G276" s="4">
        <v>25</v>
      </c>
      <c r="H276" s="8">
        <v>0.54</v>
      </c>
      <c r="I276" s="4">
        <v>0</v>
      </c>
    </row>
    <row r="277" spans="1:9" x14ac:dyDescent="0.2">
      <c r="A277" s="2">
        <v>8</v>
      </c>
      <c r="B277" s="1" t="s">
        <v>135</v>
      </c>
      <c r="C277" s="4">
        <v>226</v>
      </c>
      <c r="D277" s="8">
        <v>2.35</v>
      </c>
      <c r="E277" s="4">
        <v>218</v>
      </c>
      <c r="F277" s="8">
        <v>4.5</v>
      </c>
      <c r="G277" s="4">
        <v>8</v>
      </c>
      <c r="H277" s="8">
        <v>0.17</v>
      </c>
      <c r="I277" s="4">
        <v>0</v>
      </c>
    </row>
    <row r="278" spans="1:9" x14ac:dyDescent="0.2">
      <c r="A278" s="2">
        <v>9</v>
      </c>
      <c r="B278" s="1" t="s">
        <v>140</v>
      </c>
      <c r="C278" s="4">
        <v>213</v>
      </c>
      <c r="D278" s="8">
        <v>2.2200000000000002</v>
      </c>
      <c r="E278" s="4">
        <v>176</v>
      </c>
      <c r="F278" s="8">
        <v>3.63</v>
      </c>
      <c r="G278" s="4">
        <v>36</v>
      </c>
      <c r="H278" s="8">
        <v>0.77</v>
      </c>
      <c r="I278" s="4">
        <v>1</v>
      </c>
    </row>
    <row r="279" spans="1:9" x14ac:dyDescent="0.2">
      <c r="A279" s="2">
        <v>10</v>
      </c>
      <c r="B279" s="1" t="s">
        <v>129</v>
      </c>
      <c r="C279" s="4">
        <v>208</v>
      </c>
      <c r="D279" s="8">
        <v>2.16</v>
      </c>
      <c r="E279" s="4">
        <v>159</v>
      </c>
      <c r="F279" s="8">
        <v>3.28</v>
      </c>
      <c r="G279" s="4">
        <v>49</v>
      </c>
      <c r="H279" s="8">
        <v>1.05</v>
      </c>
      <c r="I279" s="4">
        <v>0</v>
      </c>
    </row>
    <row r="280" spans="1:9" x14ac:dyDescent="0.2">
      <c r="A280" s="2">
        <v>11</v>
      </c>
      <c r="B280" s="1" t="s">
        <v>143</v>
      </c>
      <c r="C280" s="4">
        <v>171</v>
      </c>
      <c r="D280" s="8">
        <v>1.78</v>
      </c>
      <c r="E280" s="4">
        <v>14</v>
      </c>
      <c r="F280" s="8">
        <v>0.28999999999999998</v>
      </c>
      <c r="G280" s="4">
        <v>157</v>
      </c>
      <c r="H280" s="8">
        <v>3.37</v>
      </c>
      <c r="I280" s="4">
        <v>0</v>
      </c>
    </row>
    <row r="281" spans="1:9" x14ac:dyDescent="0.2">
      <c r="A281" s="2">
        <v>12</v>
      </c>
      <c r="B281" s="1" t="s">
        <v>159</v>
      </c>
      <c r="C281" s="4">
        <v>168</v>
      </c>
      <c r="D281" s="8">
        <v>1.75</v>
      </c>
      <c r="E281" s="4">
        <v>23</v>
      </c>
      <c r="F281" s="8">
        <v>0.47</v>
      </c>
      <c r="G281" s="4">
        <v>145</v>
      </c>
      <c r="H281" s="8">
        <v>3.11</v>
      </c>
      <c r="I281" s="4">
        <v>0</v>
      </c>
    </row>
    <row r="282" spans="1:9" x14ac:dyDescent="0.2">
      <c r="A282" s="2">
        <v>13</v>
      </c>
      <c r="B282" s="1" t="s">
        <v>126</v>
      </c>
      <c r="C282" s="4">
        <v>154</v>
      </c>
      <c r="D282" s="8">
        <v>1.6</v>
      </c>
      <c r="E282" s="4">
        <v>104</v>
      </c>
      <c r="F282" s="8">
        <v>2.15</v>
      </c>
      <c r="G282" s="4">
        <v>50</v>
      </c>
      <c r="H282" s="8">
        <v>1.07</v>
      </c>
      <c r="I282" s="4">
        <v>0</v>
      </c>
    </row>
    <row r="283" spans="1:9" x14ac:dyDescent="0.2">
      <c r="A283" s="2">
        <v>14</v>
      </c>
      <c r="B283" s="1" t="s">
        <v>124</v>
      </c>
      <c r="C283" s="4">
        <v>143</v>
      </c>
      <c r="D283" s="8">
        <v>1.49</v>
      </c>
      <c r="E283" s="4">
        <v>24</v>
      </c>
      <c r="F283" s="8">
        <v>0.5</v>
      </c>
      <c r="G283" s="4">
        <v>119</v>
      </c>
      <c r="H283" s="8">
        <v>2.56</v>
      </c>
      <c r="I283" s="4">
        <v>0</v>
      </c>
    </row>
    <row r="284" spans="1:9" x14ac:dyDescent="0.2">
      <c r="A284" s="2">
        <v>15</v>
      </c>
      <c r="B284" s="1" t="s">
        <v>130</v>
      </c>
      <c r="C284" s="4">
        <v>140</v>
      </c>
      <c r="D284" s="8">
        <v>1.46</v>
      </c>
      <c r="E284" s="4">
        <v>32</v>
      </c>
      <c r="F284" s="8">
        <v>0.66</v>
      </c>
      <c r="G284" s="4">
        <v>108</v>
      </c>
      <c r="H284" s="8">
        <v>2.3199999999999998</v>
      </c>
      <c r="I284" s="4">
        <v>0</v>
      </c>
    </row>
    <row r="285" spans="1:9" x14ac:dyDescent="0.2">
      <c r="A285" s="2">
        <v>16</v>
      </c>
      <c r="B285" s="1" t="s">
        <v>122</v>
      </c>
      <c r="C285" s="4">
        <v>138</v>
      </c>
      <c r="D285" s="8">
        <v>1.44</v>
      </c>
      <c r="E285" s="4">
        <v>22</v>
      </c>
      <c r="F285" s="8">
        <v>0.45</v>
      </c>
      <c r="G285" s="4">
        <v>116</v>
      </c>
      <c r="H285" s="8">
        <v>2.4900000000000002</v>
      </c>
      <c r="I285" s="4">
        <v>0</v>
      </c>
    </row>
    <row r="286" spans="1:9" x14ac:dyDescent="0.2">
      <c r="A286" s="2">
        <v>17</v>
      </c>
      <c r="B286" s="1" t="s">
        <v>123</v>
      </c>
      <c r="C286" s="4">
        <v>136</v>
      </c>
      <c r="D286" s="8">
        <v>1.42</v>
      </c>
      <c r="E286" s="4">
        <v>16</v>
      </c>
      <c r="F286" s="8">
        <v>0.33</v>
      </c>
      <c r="G286" s="4">
        <v>120</v>
      </c>
      <c r="H286" s="8">
        <v>2.58</v>
      </c>
      <c r="I286" s="4">
        <v>0</v>
      </c>
    </row>
    <row r="287" spans="1:9" x14ac:dyDescent="0.2">
      <c r="A287" s="2">
        <v>18</v>
      </c>
      <c r="B287" s="1" t="s">
        <v>145</v>
      </c>
      <c r="C287" s="4">
        <v>135</v>
      </c>
      <c r="D287" s="8">
        <v>1.4</v>
      </c>
      <c r="E287" s="4">
        <v>129</v>
      </c>
      <c r="F287" s="8">
        <v>2.66</v>
      </c>
      <c r="G287" s="4">
        <v>6</v>
      </c>
      <c r="H287" s="8">
        <v>0.13</v>
      </c>
      <c r="I287" s="4">
        <v>0</v>
      </c>
    </row>
    <row r="288" spans="1:9" x14ac:dyDescent="0.2">
      <c r="A288" s="2">
        <v>19</v>
      </c>
      <c r="B288" s="1" t="s">
        <v>127</v>
      </c>
      <c r="C288" s="4">
        <v>117</v>
      </c>
      <c r="D288" s="8">
        <v>1.22</v>
      </c>
      <c r="E288" s="4">
        <v>73</v>
      </c>
      <c r="F288" s="8">
        <v>1.51</v>
      </c>
      <c r="G288" s="4">
        <v>44</v>
      </c>
      <c r="H288" s="8">
        <v>0.94</v>
      </c>
      <c r="I288" s="4">
        <v>0</v>
      </c>
    </row>
    <row r="289" spans="1:9" x14ac:dyDescent="0.2">
      <c r="A289" s="2">
        <v>20</v>
      </c>
      <c r="B289" s="1" t="s">
        <v>131</v>
      </c>
      <c r="C289" s="4">
        <v>116</v>
      </c>
      <c r="D289" s="8">
        <v>1.21</v>
      </c>
      <c r="E289" s="4">
        <v>12</v>
      </c>
      <c r="F289" s="8">
        <v>0.25</v>
      </c>
      <c r="G289" s="4">
        <v>104</v>
      </c>
      <c r="H289" s="8">
        <v>2.23</v>
      </c>
      <c r="I289" s="4">
        <v>0</v>
      </c>
    </row>
    <row r="290" spans="1:9" x14ac:dyDescent="0.2">
      <c r="A290" s="1"/>
      <c r="C290" s="4"/>
      <c r="D290" s="8"/>
      <c r="E290" s="4"/>
      <c r="F290" s="8"/>
      <c r="G290" s="4"/>
      <c r="H290" s="8"/>
      <c r="I290" s="4"/>
    </row>
    <row r="291" spans="1:9" x14ac:dyDescent="0.2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2">
      <c r="A292" s="2">
        <v>1</v>
      </c>
      <c r="B292" s="1" t="s">
        <v>138</v>
      </c>
      <c r="C292" s="4">
        <v>300</v>
      </c>
      <c r="D292" s="8">
        <v>6.58</v>
      </c>
      <c r="E292" s="4">
        <v>266</v>
      </c>
      <c r="F292" s="8">
        <v>10.69</v>
      </c>
      <c r="G292" s="4">
        <v>34</v>
      </c>
      <c r="H292" s="8">
        <v>1.66</v>
      </c>
      <c r="I292" s="4">
        <v>0</v>
      </c>
    </row>
    <row r="293" spans="1:9" x14ac:dyDescent="0.2">
      <c r="A293" s="2">
        <v>2</v>
      </c>
      <c r="B293" s="1" t="s">
        <v>140</v>
      </c>
      <c r="C293" s="4">
        <v>154</v>
      </c>
      <c r="D293" s="8">
        <v>3.38</v>
      </c>
      <c r="E293" s="4">
        <v>128</v>
      </c>
      <c r="F293" s="8">
        <v>5.14</v>
      </c>
      <c r="G293" s="4">
        <v>25</v>
      </c>
      <c r="H293" s="8">
        <v>1.22</v>
      </c>
      <c r="I293" s="4">
        <v>1</v>
      </c>
    </row>
    <row r="294" spans="1:9" x14ac:dyDescent="0.2">
      <c r="A294" s="2">
        <v>3</v>
      </c>
      <c r="B294" s="1" t="s">
        <v>132</v>
      </c>
      <c r="C294" s="4">
        <v>152</v>
      </c>
      <c r="D294" s="8">
        <v>3.33</v>
      </c>
      <c r="E294" s="4">
        <v>19</v>
      </c>
      <c r="F294" s="8">
        <v>0.76</v>
      </c>
      <c r="G294" s="4">
        <v>132</v>
      </c>
      <c r="H294" s="8">
        <v>6.46</v>
      </c>
      <c r="I294" s="4">
        <v>0</v>
      </c>
    </row>
    <row r="295" spans="1:9" x14ac:dyDescent="0.2">
      <c r="A295" s="2">
        <v>4</v>
      </c>
      <c r="B295" s="1" t="s">
        <v>136</v>
      </c>
      <c r="C295" s="4">
        <v>147</v>
      </c>
      <c r="D295" s="8">
        <v>3.22</v>
      </c>
      <c r="E295" s="4">
        <v>138</v>
      </c>
      <c r="F295" s="8">
        <v>5.54</v>
      </c>
      <c r="G295" s="4">
        <v>9</v>
      </c>
      <c r="H295" s="8">
        <v>0.44</v>
      </c>
      <c r="I295" s="4">
        <v>0</v>
      </c>
    </row>
    <row r="296" spans="1:9" x14ac:dyDescent="0.2">
      <c r="A296" s="2">
        <v>4</v>
      </c>
      <c r="B296" s="1" t="s">
        <v>137</v>
      </c>
      <c r="C296" s="4">
        <v>147</v>
      </c>
      <c r="D296" s="8">
        <v>3.22</v>
      </c>
      <c r="E296" s="4">
        <v>139</v>
      </c>
      <c r="F296" s="8">
        <v>5.58</v>
      </c>
      <c r="G296" s="4">
        <v>8</v>
      </c>
      <c r="H296" s="8">
        <v>0.39</v>
      </c>
      <c r="I296" s="4">
        <v>0</v>
      </c>
    </row>
    <row r="297" spans="1:9" x14ac:dyDescent="0.2">
      <c r="A297" s="2">
        <v>6</v>
      </c>
      <c r="B297" s="1" t="s">
        <v>141</v>
      </c>
      <c r="C297" s="4">
        <v>137</v>
      </c>
      <c r="D297" s="8">
        <v>3</v>
      </c>
      <c r="E297" s="4">
        <v>124</v>
      </c>
      <c r="F297" s="8">
        <v>4.9800000000000004</v>
      </c>
      <c r="G297" s="4">
        <v>13</v>
      </c>
      <c r="H297" s="8">
        <v>0.64</v>
      </c>
      <c r="I297" s="4">
        <v>0</v>
      </c>
    </row>
    <row r="298" spans="1:9" x14ac:dyDescent="0.2">
      <c r="A298" s="2">
        <v>7</v>
      </c>
      <c r="B298" s="1" t="s">
        <v>134</v>
      </c>
      <c r="C298" s="4">
        <v>134</v>
      </c>
      <c r="D298" s="8">
        <v>2.94</v>
      </c>
      <c r="E298" s="4">
        <v>125</v>
      </c>
      <c r="F298" s="8">
        <v>5.0199999999999996</v>
      </c>
      <c r="G298" s="4">
        <v>9</v>
      </c>
      <c r="H298" s="8">
        <v>0.44</v>
      </c>
      <c r="I298" s="4">
        <v>0</v>
      </c>
    </row>
    <row r="299" spans="1:9" x14ac:dyDescent="0.2">
      <c r="A299" s="2">
        <v>8</v>
      </c>
      <c r="B299" s="1" t="s">
        <v>129</v>
      </c>
      <c r="C299" s="4">
        <v>116</v>
      </c>
      <c r="D299" s="8">
        <v>2.54</v>
      </c>
      <c r="E299" s="4">
        <v>81</v>
      </c>
      <c r="F299" s="8">
        <v>3.25</v>
      </c>
      <c r="G299" s="4">
        <v>35</v>
      </c>
      <c r="H299" s="8">
        <v>1.71</v>
      </c>
      <c r="I299" s="4">
        <v>0</v>
      </c>
    </row>
    <row r="300" spans="1:9" x14ac:dyDescent="0.2">
      <c r="A300" s="2">
        <v>9</v>
      </c>
      <c r="B300" s="1" t="s">
        <v>133</v>
      </c>
      <c r="C300" s="4">
        <v>104</v>
      </c>
      <c r="D300" s="8">
        <v>2.2799999999999998</v>
      </c>
      <c r="E300" s="4">
        <v>95</v>
      </c>
      <c r="F300" s="8">
        <v>3.82</v>
      </c>
      <c r="G300" s="4">
        <v>9</v>
      </c>
      <c r="H300" s="8">
        <v>0.44</v>
      </c>
      <c r="I300" s="4">
        <v>0</v>
      </c>
    </row>
    <row r="301" spans="1:9" x14ac:dyDescent="0.2">
      <c r="A301" s="2">
        <v>10</v>
      </c>
      <c r="B301" s="1" t="s">
        <v>135</v>
      </c>
      <c r="C301" s="4">
        <v>89</v>
      </c>
      <c r="D301" s="8">
        <v>1.95</v>
      </c>
      <c r="E301" s="4">
        <v>89</v>
      </c>
      <c r="F301" s="8">
        <v>3.58</v>
      </c>
      <c r="G301" s="4">
        <v>0</v>
      </c>
      <c r="H301" s="8">
        <v>0</v>
      </c>
      <c r="I301" s="4">
        <v>0</v>
      </c>
    </row>
    <row r="302" spans="1:9" x14ac:dyDescent="0.2">
      <c r="A302" s="2">
        <v>11</v>
      </c>
      <c r="B302" s="1" t="s">
        <v>131</v>
      </c>
      <c r="C302" s="4">
        <v>88</v>
      </c>
      <c r="D302" s="8">
        <v>1.93</v>
      </c>
      <c r="E302" s="4">
        <v>13</v>
      </c>
      <c r="F302" s="8">
        <v>0.52</v>
      </c>
      <c r="G302" s="4">
        <v>75</v>
      </c>
      <c r="H302" s="8">
        <v>3.67</v>
      </c>
      <c r="I302" s="4">
        <v>0</v>
      </c>
    </row>
    <row r="303" spans="1:9" x14ac:dyDescent="0.2">
      <c r="A303" s="2">
        <v>12</v>
      </c>
      <c r="B303" s="1" t="s">
        <v>126</v>
      </c>
      <c r="C303" s="4">
        <v>86</v>
      </c>
      <c r="D303" s="8">
        <v>1.89</v>
      </c>
      <c r="E303" s="4">
        <v>58</v>
      </c>
      <c r="F303" s="8">
        <v>2.33</v>
      </c>
      <c r="G303" s="4">
        <v>28</v>
      </c>
      <c r="H303" s="8">
        <v>1.37</v>
      </c>
      <c r="I303" s="4">
        <v>0</v>
      </c>
    </row>
    <row r="304" spans="1:9" x14ac:dyDescent="0.2">
      <c r="A304" s="2">
        <v>12</v>
      </c>
      <c r="B304" s="1" t="s">
        <v>130</v>
      </c>
      <c r="C304" s="4">
        <v>86</v>
      </c>
      <c r="D304" s="8">
        <v>1.89</v>
      </c>
      <c r="E304" s="4">
        <v>14</v>
      </c>
      <c r="F304" s="8">
        <v>0.56000000000000005</v>
      </c>
      <c r="G304" s="4">
        <v>72</v>
      </c>
      <c r="H304" s="8">
        <v>3.52</v>
      </c>
      <c r="I304" s="4">
        <v>0</v>
      </c>
    </row>
    <row r="305" spans="1:9" x14ac:dyDescent="0.2">
      <c r="A305" s="2">
        <v>14</v>
      </c>
      <c r="B305" s="1" t="s">
        <v>139</v>
      </c>
      <c r="C305" s="4">
        <v>73</v>
      </c>
      <c r="D305" s="8">
        <v>1.6</v>
      </c>
      <c r="E305" s="4">
        <v>57</v>
      </c>
      <c r="F305" s="8">
        <v>2.29</v>
      </c>
      <c r="G305" s="4">
        <v>16</v>
      </c>
      <c r="H305" s="8">
        <v>0.78</v>
      </c>
      <c r="I305" s="4">
        <v>0</v>
      </c>
    </row>
    <row r="306" spans="1:9" x14ac:dyDescent="0.2">
      <c r="A306" s="2">
        <v>15</v>
      </c>
      <c r="B306" s="1" t="s">
        <v>146</v>
      </c>
      <c r="C306" s="4">
        <v>70</v>
      </c>
      <c r="D306" s="8">
        <v>1.53</v>
      </c>
      <c r="E306" s="4">
        <v>31</v>
      </c>
      <c r="F306" s="8">
        <v>1.25</v>
      </c>
      <c r="G306" s="4">
        <v>39</v>
      </c>
      <c r="H306" s="8">
        <v>1.91</v>
      </c>
      <c r="I306" s="4">
        <v>0</v>
      </c>
    </row>
    <row r="307" spans="1:9" x14ac:dyDescent="0.2">
      <c r="A307" s="2">
        <v>16</v>
      </c>
      <c r="B307" s="1" t="s">
        <v>125</v>
      </c>
      <c r="C307" s="4">
        <v>68</v>
      </c>
      <c r="D307" s="8">
        <v>1.49</v>
      </c>
      <c r="E307" s="4">
        <v>30</v>
      </c>
      <c r="F307" s="8">
        <v>1.21</v>
      </c>
      <c r="G307" s="4">
        <v>38</v>
      </c>
      <c r="H307" s="8">
        <v>1.86</v>
      </c>
      <c r="I307" s="4">
        <v>0</v>
      </c>
    </row>
    <row r="308" spans="1:9" x14ac:dyDescent="0.2">
      <c r="A308" s="2">
        <v>17</v>
      </c>
      <c r="B308" s="1" t="s">
        <v>145</v>
      </c>
      <c r="C308" s="4">
        <v>67</v>
      </c>
      <c r="D308" s="8">
        <v>1.47</v>
      </c>
      <c r="E308" s="4">
        <v>64</v>
      </c>
      <c r="F308" s="8">
        <v>2.57</v>
      </c>
      <c r="G308" s="4">
        <v>3</v>
      </c>
      <c r="H308" s="8">
        <v>0.15</v>
      </c>
      <c r="I308" s="4">
        <v>0</v>
      </c>
    </row>
    <row r="309" spans="1:9" x14ac:dyDescent="0.2">
      <c r="A309" s="2">
        <v>18</v>
      </c>
      <c r="B309" s="1" t="s">
        <v>128</v>
      </c>
      <c r="C309" s="4">
        <v>61</v>
      </c>
      <c r="D309" s="8">
        <v>1.34</v>
      </c>
      <c r="E309" s="4">
        <v>21</v>
      </c>
      <c r="F309" s="8">
        <v>0.84</v>
      </c>
      <c r="G309" s="4">
        <v>40</v>
      </c>
      <c r="H309" s="8">
        <v>1.96</v>
      </c>
      <c r="I309" s="4">
        <v>0</v>
      </c>
    </row>
    <row r="310" spans="1:9" x14ac:dyDescent="0.2">
      <c r="A310" s="2">
        <v>19</v>
      </c>
      <c r="B310" s="1" t="s">
        <v>150</v>
      </c>
      <c r="C310" s="4">
        <v>59</v>
      </c>
      <c r="D310" s="8">
        <v>1.29</v>
      </c>
      <c r="E310" s="4">
        <v>15</v>
      </c>
      <c r="F310" s="8">
        <v>0.6</v>
      </c>
      <c r="G310" s="4">
        <v>44</v>
      </c>
      <c r="H310" s="8">
        <v>2.15</v>
      </c>
      <c r="I310" s="4">
        <v>0</v>
      </c>
    </row>
    <row r="311" spans="1:9" x14ac:dyDescent="0.2">
      <c r="A311" s="2">
        <v>20</v>
      </c>
      <c r="B311" s="1" t="s">
        <v>127</v>
      </c>
      <c r="C311" s="4">
        <v>58</v>
      </c>
      <c r="D311" s="8">
        <v>1.27</v>
      </c>
      <c r="E311" s="4">
        <v>33</v>
      </c>
      <c r="F311" s="8">
        <v>1.33</v>
      </c>
      <c r="G311" s="4">
        <v>25</v>
      </c>
      <c r="H311" s="8">
        <v>1.22</v>
      </c>
      <c r="I311" s="4">
        <v>0</v>
      </c>
    </row>
    <row r="312" spans="1:9" x14ac:dyDescent="0.2">
      <c r="A312" s="1"/>
      <c r="C312" s="4"/>
      <c r="D312" s="8"/>
      <c r="E312" s="4"/>
      <c r="F312" s="8"/>
      <c r="G312" s="4"/>
      <c r="H312" s="8"/>
      <c r="I312" s="4"/>
    </row>
    <row r="313" spans="1:9" x14ac:dyDescent="0.2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2">
      <c r="A314" s="2">
        <v>1</v>
      </c>
      <c r="B314" s="1" t="s">
        <v>132</v>
      </c>
      <c r="C314" s="4">
        <v>579</v>
      </c>
      <c r="D314" s="8">
        <v>7.51</v>
      </c>
      <c r="E314" s="4">
        <v>180</v>
      </c>
      <c r="F314" s="8">
        <v>5.1100000000000003</v>
      </c>
      <c r="G314" s="4">
        <v>398</v>
      </c>
      <c r="H314" s="8">
        <v>9.6199999999999992</v>
      </c>
      <c r="I314" s="4">
        <v>1</v>
      </c>
    </row>
    <row r="315" spans="1:9" x14ac:dyDescent="0.2">
      <c r="A315" s="2">
        <v>2</v>
      </c>
      <c r="B315" s="1" t="s">
        <v>138</v>
      </c>
      <c r="C315" s="4">
        <v>466</v>
      </c>
      <c r="D315" s="8">
        <v>6.05</v>
      </c>
      <c r="E315" s="4">
        <v>386</v>
      </c>
      <c r="F315" s="8">
        <v>10.96</v>
      </c>
      <c r="G315" s="4">
        <v>80</v>
      </c>
      <c r="H315" s="8">
        <v>1.93</v>
      </c>
      <c r="I315" s="4">
        <v>0</v>
      </c>
    </row>
    <row r="316" spans="1:9" x14ac:dyDescent="0.2">
      <c r="A316" s="2">
        <v>3</v>
      </c>
      <c r="B316" s="1" t="s">
        <v>141</v>
      </c>
      <c r="C316" s="4">
        <v>308</v>
      </c>
      <c r="D316" s="8">
        <v>4</v>
      </c>
      <c r="E316" s="4">
        <v>271</v>
      </c>
      <c r="F316" s="8">
        <v>7.69</v>
      </c>
      <c r="G316" s="4">
        <v>37</v>
      </c>
      <c r="H316" s="8">
        <v>0.89</v>
      </c>
      <c r="I316" s="4">
        <v>0</v>
      </c>
    </row>
    <row r="317" spans="1:9" x14ac:dyDescent="0.2">
      <c r="A317" s="2">
        <v>4</v>
      </c>
      <c r="B317" s="1" t="s">
        <v>133</v>
      </c>
      <c r="C317" s="4">
        <v>245</v>
      </c>
      <c r="D317" s="8">
        <v>3.18</v>
      </c>
      <c r="E317" s="4">
        <v>202</v>
      </c>
      <c r="F317" s="8">
        <v>5.74</v>
      </c>
      <c r="G317" s="4">
        <v>43</v>
      </c>
      <c r="H317" s="8">
        <v>1.04</v>
      </c>
      <c r="I317" s="4">
        <v>0</v>
      </c>
    </row>
    <row r="318" spans="1:9" x14ac:dyDescent="0.2">
      <c r="A318" s="2">
        <v>5</v>
      </c>
      <c r="B318" s="1" t="s">
        <v>140</v>
      </c>
      <c r="C318" s="4">
        <v>233</v>
      </c>
      <c r="D318" s="8">
        <v>3.02</v>
      </c>
      <c r="E318" s="4">
        <v>156</v>
      </c>
      <c r="F318" s="8">
        <v>4.43</v>
      </c>
      <c r="G318" s="4">
        <v>77</v>
      </c>
      <c r="H318" s="8">
        <v>1.86</v>
      </c>
      <c r="I318" s="4">
        <v>0</v>
      </c>
    </row>
    <row r="319" spans="1:9" x14ac:dyDescent="0.2">
      <c r="A319" s="2">
        <v>6</v>
      </c>
      <c r="B319" s="1" t="s">
        <v>134</v>
      </c>
      <c r="C319" s="4">
        <v>200</v>
      </c>
      <c r="D319" s="8">
        <v>2.6</v>
      </c>
      <c r="E319" s="4">
        <v>180</v>
      </c>
      <c r="F319" s="8">
        <v>5.1100000000000003</v>
      </c>
      <c r="G319" s="4">
        <v>20</v>
      </c>
      <c r="H319" s="8">
        <v>0.48</v>
      </c>
      <c r="I319" s="4">
        <v>0</v>
      </c>
    </row>
    <row r="320" spans="1:9" x14ac:dyDescent="0.2">
      <c r="A320" s="2">
        <v>7</v>
      </c>
      <c r="B320" s="1" t="s">
        <v>129</v>
      </c>
      <c r="C320" s="4">
        <v>189</v>
      </c>
      <c r="D320" s="8">
        <v>2.4500000000000002</v>
      </c>
      <c r="E320" s="4">
        <v>136</v>
      </c>
      <c r="F320" s="8">
        <v>3.86</v>
      </c>
      <c r="G320" s="4">
        <v>52</v>
      </c>
      <c r="H320" s="8">
        <v>1.26</v>
      </c>
      <c r="I320" s="4">
        <v>1</v>
      </c>
    </row>
    <row r="321" spans="1:9" x14ac:dyDescent="0.2">
      <c r="A321" s="2">
        <v>8</v>
      </c>
      <c r="B321" s="1" t="s">
        <v>136</v>
      </c>
      <c r="C321" s="4">
        <v>184</v>
      </c>
      <c r="D321" s="8">
        <v>2.39</v>
      </c>
      <c r="E321" s="4">
        <v>170</v>
      </c>
      <c r="F321" s="8">
        <v>4.83</v>
      </c>
      <c r="G321" s="4">
        <v>14</v>
      </c>
      <c r="H321" s="8">
        <v>0.34</v>
      </c>
      <c r="I321" s="4">
        <v>0</v>
      </c>
    </row>
    <row r="322" spans="1:9" x14ac:dyDescent="0.2">
      <c r="A322" s="2">
        <v>9</v>
      </c>
      <c r="B322" s="1" t="s">
        <v>130</v>
      </c>
      <c r="C322" s="4">
        <v>175</v>
      </c>
      <c r="D322" s="8">
        <v>2.27</v>
      </c>
      <c r="E322" s="4">
        <v>20</v>
      </c>
      <c r="F322" s="8">
        <v>0.56999999999999995</v>
      </c>
      <c r="G322" s="4">
        <v>155</v>
      </c>
      <c r="H322" s="8">
        <v>3.75</v>
      </c>
      <c r="I322" s="4">
        <v>0</v>
      </c>
    </row>
    <row r="323" spans="1:9" x14ac:dyDescent="0.2">
      <c r="A323" s="2">
        <v>10</v>
      </c>
      <c r="B323" s="1" t="s">
        <v>143</v>
      </c>
      <c r="C323" s="4">
        <v>164</v>
      </c>
      <c r="D323" s="8">
        <v>2.13</v>
      </c>
      <c r="E323" s="4">
        <v>7</v>
      </c>
      <c r="F323" s="8">
        <v>0.2</v>
      </c>
      <c r="G323" s="4">
        <v>155</v>
      </c>
      <c r="H323" s="8">
        <v>3.75</v>
      </c>
      <c r="I323" s="4">
        <v>2</v>
      </c>
    </row>
    <row r="324" spans="1:9" x14ac:dyDescent="0.2">
      <c r="A324" s="2">
        <v>11</v>
      </c>
      <c r="B324" s="1" t="s">
        <v>137</v>
      </c>
      <c r="C324" s="4">
        <v>156</v>
      </c>
      <c r="D324" s="8">
        <v>2.02</v>
      </c>
      <c r="E324" s="4">
        <v>138</v>
      </c>
      <c r="F324" s="8">
        <v>3.92</v>
      </c>
      <c r="G324" s="4">
        <v>18</v>
      </c>
      <c r="H324" s="8">
        <v>0.43</v>
      </c>
      <c r="I324" s="4">
        <v>0</v>
      </c>
    </row>
    <row r="325" spans="1:9" x14ac:dyDescent="0.2">
      <c r="A325" s="2">
        <v>12</v>
      </c>
      <c r="B325" s="1" t="s">
        <v>125</v>
      </c>
      <c r="C325" s="4">
        <v>139</v>
      </c>
      <c r="D325" s="8">
        <v>1.8</v>
      </c>
      <c r="E325" s="4">
        <v>64</v>
      </c>
      <c r="F325" s="8">
        <v>1.82</v>
      </c>
      <c r="G325" s="4">
        <v>75</v>
      </c>
      <c r="H325" s="8">
        <v>1.81</v>
      </c>
      <c r="I325" s="4">
        <v>0</v>
      </c>
    </row>
    <row r="326" spans="1:9" x14ac:dyDescent="0.2">
      <c r="A326" s="2">
        <v>13</v>
      </c>
      <c r="B326" s="1" t="s">
        <v>131</v>
      </c>
      <c r="C326" s="4">
        <v>130</v>
      </c>
      <c r="D326" s="8">
        <v>1.69</v>
      </c>
      <c r="E326" s="4">
        <v>19</v>
      </c>
      <c r="F326" s="8">
        <v>0.54</v>
      </c>
      <c r="G326" s="4">
        <v>110</v>
      </c>
      <c r="H326" s="8">
        <v>2.66</v>
      </c>
      <c r="I326" s="4">
        <v>1</v>
      </c>
    </row>
    <row r="327" spans="1:9" x14ac:dyDescent="0.2">
      <c r="A327" s="2">
        <v>13</v>
      </c>
      <c r="B327" s="1" t="s">
        <v>135</v>
      </c>
      <c r="C327" s="4">
        <v>130</v>
      </c>
      <c r="D327" s="8">
        <v>1.69</v>
      </c>
      <c r="E327" s="4">
        <v>127</v>
      </c>
      <c r="F327" s="8">
        <v>3.61</v>
      </c>
      <c r="G327" s="4">
        <v>3</v>
      </c>
      <c r="H327" s="8">
        <v>7.0000000000000007E-2</v>
      </c>
      <c r="I327" s="4">
        <v>0</v>
      </c>
    </row>
    <row r="328" spans="1:9" x14ac:dyDescent="0.2">
      <c r="A328" s="2">
        <v>15</v>
      </c>
      <c r="B328" s="1" t="s">
        <v>139</v>
      </c>
      <c r="C328" s="4">
        <v>122</v>
      </c>
      <c r="D328" s="8">
        <v>1.58</v>
      </c>
      <c r="E328" s="4">
        <v>69</v>
      </c>
      <c r="F328" s="8">
        <v>1.96</v>
      </c>
      <c r="G328" s="4">
        <v>53</v>
      </c>
      <c r="H328" s="8">
        <v>1.28</v>
      </c>
      <c r="I328" s="4">
        <v>0</v>
      </c>
    </row>
    <row r="329" spans="1:9" x14ac:dyDescent="0.2">
      <c r="A329" s="2">
        <v>16</v>
      </c>
      <c r="B329" s="1" t="s">
        <v>146</v>
      </c>
      <c r="C329" s="4">
        <v>111</v>
      </c>
      <c r="D329" s="8">
        <v>1.44</v>
      </c>
      <c r="E329" s="4">
        <v>44</v>
      </c>
      <c r="F329" s="8">
        <v>1.25</v>
      </c>
      <c r="G329" s="4">
        <v>67</v>
      </c>
      <c r="H329" s="8">
        <v>1.62</v>
      </c>
      <c r="I329" s="4">
        <v>0</v>
      </c>
    </row>
    <row r="330" spans="1:9" x14ac:dyDescent="0.2">
      <c r="A330" s="2">
        <v>17</v>
      </c>
      <c r="B330" s="1" t="s">
        <v>126</v>
      </c>
      <c r="C330" s="4">
        <v>108</v>
      </c>
      <c r="D330" s="8">
        <v>1.4</v>
      </c>
      <c r="E330" s="4">
        <v>65</v>
      </c>
      <c r="F330" s="8">
        <v>1.85</v>
      </c>
      <c r="G330" s="4">
        <v>42</v>
      </c>
      <c r="H330" s="8">
        <v>1.01</v>
      </c>
      <c r="I330" s="4">
        <v>1</v>
      </c>
    </row>
    <row r="331" spans="1:9" x14ac:dyDescent="0.2">
      <c r="A331" s="2">
        <v>18</v>
      </c>
      <c r="B331" s="1" t="s">
        <v>123</v>
      </c>
      <c r="C331" s="4">
        <v>105</v>
      </c>
      <c r="D331" s="8">
        <v>1.36</v>
      </c>
      <c r="E331" s="4">
        <v>4</v>
      </c>
      <c r="F331" s="8">
        <v>0.11</v>
      </c>
      <c r="G331" s="4">
        <v>101</v>
      </c>
      <c r="H331" s="8">
        <v>2.44</v>
      </c>
      <c r="I331" s="4">
        <v>0</v>
      </c>
    </row>
    <row r="332" spans="1:9" x14ac:dyDescent="0.2">
      <c r="A332" s="2">
        <v>19</v>
      </c>
      <c r="B332" s="1" t="s">
        <v>151</v>
      </c>
      <c r="C332" s="4">
        <v>88</v>
      </c>
      <c r="D332" s="8">
        <v>1.1399999999999999</v>
      </c>
      <c r="E332" s="4">
        <v>65</v>
      </c>
      <c r="F332" s="8">
        <v>1.85</v>
      </c>
      <c r="G332" s="4">
        <v>23</v>
      </c>
      <c r="H332" s="8">
        <v>0.56000000000000005</v>
      </c>
      <c r="I332" s="4">
        <v>0</v>
      </c>
    </row>
    <row r="333" spans="1:9" x14ac:dyDescent="0.2">
      <c r="A333" s="2">
        <v>19</v>
      </c>
      <c r="B333" s="1" t="s">
        <v>144</v>
      </c>
      <c r="C333" s="4">
        <v>88</v>
      </c>
      <c r="D333" s="8">
        <v>1.1399999999999999</v>
      </c>
      <c r="E333" s="4">
        <v>25</v>
      </c>
      <c r="F333" s="8">
        <v>0.71</v>
      </c>
      <c r="G333" s="4">
        <v>63</v>
      </c>
      <c r="H333" s="8">
        <v>1.52</v>
      </c>
      <c r="I333" s="4">
        <v>0</v>
      </c>
    </row>
    <row r="334" spans="1:9" x14ac:dyDescent="0.2">
      <c r="A334" s="1"/>
      <c r="C334" s="4"/>
      <c r="D334" s="8"/>
      <c r="E334" s="4"/>
      <c r="F334" s="8"/>
      <c r="G334" s="4"/>
      <c r="H334" s="8"/>
      <c r="I334" s="4"/>
    </row>
    <row r="335" spans="1:9" x14ac:dyDescent="0.2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2">
      <c r="A336" s="2">
        <v>1</v>
      </c>
      <c r="B336" s="1" t="s">
        <v>132</v>
      </c>
      <c r="C336" s="4">
        <v>73</v>
      </c>
      <c r="D336" s="8">
        <v>5.03</v>
      </c>
      <c r="E336" s="4">
        <v>34</v>
      </c>
      <c r="F336" s="8">
        <v>3.81</v>
      </c>
      <c r="G336" s="4">
        <v>38</v>
      </c>
      <c r="H336" s="8">
        <v>7.38</v>
      </c>
      <c r="I336" s="4">
        <v>1</v>
      </c>
    </row>
    <row r="337" spans="1:9" x14ac:dyDescent="0.2">
      <c r="A337" s="2">
        <v>2</v>
      </c>
      <c r="B337" s="1" t="s">
        <v>138</v>
      </c>
      <c r="C337" s="4">
        <v>61</v>
      </c>
      <c r="D337" s="8">
        <v>4.2</v>
      </c>
      <c r="E337" s="4">
        <v>55</v>
      </c>
      <c r="F337" s="8">
        <v>6.16</v>
      </c>
      <c r="G337" s="4">
        <v>6</v>
      </c>
      <c r="H337" s="8">
        <v>1.17</v>
      </c>
      <c r="I337" s="4">
        <v>0</v>
      </c>
    </row>
    <row r="338" spans="1:9" x14ac:dyDescent="0.2">
      <c r="A338" s="2">
        <v>3</v>
      </c>
      <c r="B338" s="1" t="s">
        <v>122</v>
      </c>
      <c r="C338" s="4">
        <v>37</v>
      </c>
      <c r="D338" s="8">
        <v>2.5499999999999998</v>
      </c>
      <c r="E338" s="4">
        <v>11</v>
      </c>
      <c r="F338" s="8">
        <v>1.23</v>
      </c>
      <c r="G338" s="4">
        <v>26</v>
      </c>
      <c r="H338" s="8">
        <v>5.05</v>
      </c>
      <c r="I338" s="4">
        <v>0</v>
      </c>
    </row>
    <row r="339" spans="1:9" x14ac:dyDescent="0.2">
      <c r="A339" s="2">
        <v>3</v>
      </c>
      <c r="B339" s="1" t="s">
        <v>136</v>
      </c>
      <c r="C339" s="4">
        <v>37</v>
      </c>
      <c r="D339" s="8">
        <v>2.5499999999999998</v>
      </c>
      <c r="E339" s="4">
        <v>35</v>
      </c>
      <c r="F339" s="8">
        <v>3.92</v>
      </c>
      <c r="G339" s="4">
        <v>2</v>
      </c>
      <c r="H339" s="8">
        <v>0.39</v>
      </c>
      <c r="I339" s="4">
        <v>0</v>
      </c>
    </row>
    <row r="340" spans="1:9" x14ac:dyDescent="0.2">
      <c r="A340" s="2">
        <v>5</v>
      </c>
      <c r="B340" s="1" t="s">
        <v>137</v>
      </c>
      <c r="C340" s="4">
        <v>36</v>
      </c>
      <c r="D340" s="8">
        <v>2.48</v>
      </c>
      <c r="E340" s="4">
        <v>35</v>
      </c>
      <c r="F340" s="8">
        <v>3.92</v>
      </c>
      <c r="G340" s="4">
        <v>1</v>
      </c>
      <c r="H340" s="8">
        <v>0.19</v>
      </c>
      <c r="I340" s="4">
        <v>0</v>
      </c>
    </row>
    <row r="341" spans="1:9" x14ac:dyDescent="0.2">
      <c r="A341" s="2">
        <v>6</v>
      </c>
      <c r="B341" s="1" t="s">
        <v>142</v>
      </c>
      <c r="C341" s="4">
        <v>34</v>
      </c>
      <c r="D341" s="8">
        <v>2.34</v>
      </c>
      <c r="E341" s="4">
        <v>30</v>
      </c>
      <c r="F341" s="8">
        <v>3.36</v>
      </c>
      <c r="G341" s="4">
        <v>4</v>
      </c>
      <c r="H341" s="8">
        <v>0.78</v>
      </c>
      <c r="I341" s="4">
        <v>0</v>
      </c>
    </row>
    <row r="342" spans="1:9" x14ac:dyDescent="0.2">
      <c r="A342" s="2">
        <v>6</v>
      </c>
      <c r="B342" s="1" t="s">
        <v>141</v>
      </c>
      <c r="C342" s="4">
        <v>34</v>
      </c>
      <c r="D342" s="8">
        <v>2.34</v>
      </c>
      <c r="E342" s="4">
        <v>28</v>
      </c>
      <c r="F342" s="8">
        <v>3.14</v>
      </c>
      <c r="G342" s="4">
        <v>6</v>
      </c>
      <c r="H342" s="8">
        <v>1.17</v>
      </c>
      <c r="I342" s="4">
        <v>0</v>
      </c>
    </row>
    <row r="343" spans="1:9" x14ac:dyDescent="0.2">
      <c r="A343" s="2">
        <v>8</v>
      </c>
      <c r="B343" s="1" t="s">
        <v>125</v>
      </c>
      <c r="C343" s="4">
        <v>33</v>
      </c>
      <c r="D343" s="8">
        <v>2.27</v>
      </c>
      <c r="E343" s="4">
        <v>22</v>
      </c>
      <c r="F343" s="8">
        <v>2.46</v>
      </c>
      <c r="G343" s="4">
        <v>11</v>
      </c>
      <c r="H343" s="8">
        <v>2.14</v>
      </c>
      <c r="I343" s="4">
        <v>0</v>
      </c>
    </row>
    <row r="344" spans="1:9" x14ac:dyDescent="0.2">
      <c r="A344" s="2">
        <v>9</v>
      </c>
      <c r="B344" s="1" t="s">
        <v>135</v>
      </c>
      <c r="C344" s="4">
        <v>30</v>
      </c>
      <c r="D344" s="8">
        <v>2.0699999999999998</v>
      </c>
      <c r="E344" s="4">
        <v>30</v>
      </c>
      <c r="F344" s="8">
        <v>3.36</v>
      </c>
      <c r="G344" s="4">
        <v>0</v>
      </c>
      <c r="H344" s="8">
        <v>0</v>
      </c>
      <c r="I344" s="4">
        <v>0</v>
      </c>
    </row>
    <row r="345" spans="1:9" x14ac:dyDescent="0.2">
      <c r="A345" s="2">
        <v>10</v>
      </c>
      <c r="B345" s="1" t="s">
        <v>129</v>
      </c>
      <c r="C345" s="4">
        <v>29</v>
      </c>
      <c r="D345" s="8">
        <v>2</v>
      </c>
      <c r="E345" s="4">
        <v>19</v>
      </c>
      <c r="F345" s="8">
        <v>2.13</v>
      </c>
      <c r="G345" s="4">
        <v>10</v>
      </c>
      <c r="H345" s="8">
        <v>1.94</v>
      </c>
      <c r="I345" s="4">
        <v>0</v>
      </c>
    </row>
    <row r="346" spans="1:9" x14ac:dyDescent="0.2">
      <c r="A346" s="2">
        <v>11</v>
      </c>
      <c r="B346" s="1" t="s">
        <v>140</v>
      </c>
      <c r="C346" s="4">
        <v>27</v>
      </c>
      <c r="D346" s="8">
        <v>1.86</v>
      </c>
      <c r="E346" s="4">
        <v>22</v>
      </c>
      <c r="F346" s="8">
        <v>2.46</v>
      </c>
      <c r="G346" s="4">
        <v>5</v>
      </c>
      <c r="H346" s="8">
        <v>0.97</v>
      </c>
      <c r="I346" s="4">
        <v>0</v>
      </c>
    </row>
    <row r="347" spans="1:9" x14ac:dyDescent="0.2">
      <c r="A347" s="2">
        <v>12</v>
      </c>
      <c r="B347" s="1" t="s">
        <v>133</v>
      </c>
      <c r="C347" s="4">
        <v>26</v>
      </c>
      <c r="D347" s="8">
        <v>1.79</v>
      </c>
      <c r="E347" s="4">
        <v>26</v>
      </c>
      <c r="F347" s="8">
        <v>2.91</v>
      </c>
      <c r="G347" s="4">
        <v>0</v>
      </c>
      <c r="H347" s="8">
        <v>0</v>
      </c>
      <c r="I347" s="4">
        <v>0</v>
      </c>
    </row>
    <row r="348" spans="1:9" x14ac:dyDescent="0.2">
      <c r="A348" s="2">
        <v>13</v>
      </c>
      <c r="B348" s="1" t="s">
        <v>134</v>
      </c>
      <c r="C348" s="4">
        <v>25</v>
      </c>
      <c r="D348" s="8">
        <v>1.72</v>
      </c>
      <c r="E348" s="4">
        <v>24</v>
      </c>
      <c r="F348" s="8">
        <v>2.69</v>
      </c>
      <c r="G348" s="4">
        <v>1</v>
      </c>
      <c r="H348" s="8">
        <v>0.19</v>
      </c>
      <c r="I348" s="4">
        <v>0</v>
      </c>
    </row>
    <row r="349" spans="1:9" x14ac:dyDescent="0.2">
      <c r="A349" s="2">
        <v>13</v>
      </c>
      <c r="B349" s="1" t="s">
        <v>165</v>
      </c>
      <c r="C349" s="4">
        <v>25</v>
      </c>
      <c r="D349" s="8">
        <v>1.72</v>
      </c>
      <c r="E349" s="4">
        <v>20</v>
      </c>
      <c r="F349" s="8">
        <v>2.2400000000000002</v>
      </c>
      <c r="G349" s="4">
        <v>4</v>
      </c>
      <c r="H349" s="8">
        <v>0.78</v>
      </c>
      <c r="I349" s="4">
        <v>1</v>
      </c>
    </row>
    <row r="350" spans="1:9" x14ac:dyDescent="0.2">
      <c r="A350" s="2">
        <v>15</v>
      </c>
      <c r="B350" s="1" t="s">
        <v>127</v>
      </c>
      <c r="C350" s="4">
        <v>24</v>
      </c>
      <c r="D350" s="8">
        <v>1.65</v>
      </c>
      <c r="E350" s="4">
        <v>22</v>
      </c>
      <c r="F350" s="8">
        <v>2.46</v>
      </c>
      <c r="G350" s="4">
        <v>2</v>
      </c>
      <c r="H350" s="8">
        <v>0.39</v>
      </c>
      <c r="I350" s="4">
        <v>0</v>
      </c>
    </row>
    <row r="351" spans="1:9" x14ac:dyDescent="0.2">
      <c r="A351" s="2">
        <v>15</v>
      </c>
      <c r="B351" s="1" t="s">
        <v>128</v>
      </c>
      <c r="C351" s="4">
        <v>24</v>
      </c>
      <c r="D351" s="8">
        <v>1.65</v>
      </c>
      <c r="E351" s="4">
        <v>5</v>
      </c>
      <c r="F351" s="8">
        <v>0.56000000000000005</v>
      </c>
      <c r="G351" s="4">
        <v>19</v>
      </c>
      <c r="H351" s="8">
        <v>3.69</v>
      </c>
      <c r="I351" s="4">
        <v>0</v>
      </c>
    </row>
    <row r="352" spans="1:9" x14ac:dyDescent="0.2">
      <c r="A352" s="2">
        <v>17</v>
      </c>
      <c r="B352" s="1" t="s">
        <v>131</v>
      </c>
      <c r="C352" s="4">
        <v>23</v>
      </c>
      <c r="D352" s="8">
        <v>1.59</v>
      </c>
      <c r="E352" s="4">
        <v>4</v>
      </c>
      <c r="F352" s="8">
        <v>0.45</v>
      </c>
      <c r="G352" s="4">
        <v>19</v>
      </c>
      <c r="H352" s="8">
        <v>3.69</v>
      </c>
      <c r="I352" s="4">
        <v>0</v>
      </c>
    </row>
    <row r="353" spans="1:9" x14ac:dyDescent="0.2">
      <c r="A353" s="2">
        <v>17</v>
      </c>
      <c r="B353" s="1" t="s">
        <v>144</v>
      </c>
      <c r="C353" s="4">
        <v>23</v>
      </c>
      <c r="D353" s="8">
        <v>1.59</v>
      </c>
      <c r="E353" s="4">
        <v>13</v>
      </c>
      <c r="F353" s="8">
        <v>1.46</v>
      </c>
      <c r="G353" s="4">
        <v>10</v>
      </c>
      <c r="H353" s="8">
        <v>1.94</v>
      </c>
      <c r="I353" s="4">
        <v>0</v>
      </c>
    </row>
    <row r="354" spans="1:9" x14ac:dyDescent="0.2">
      <c r="A354" s="2">
        <v>19</v>
      </c>
      <c r="B354" s="1" t="s">
        <v>126</v>
      </c>
      <c r="C354" s="4">
        <v>22</v>
      </c>
      <c r="D354" s="8">
        <v>1.52</v>
      </c>
      <c r="E354" s="4">
        <v>19</v>
      </c>
      <c r="F354" s="8">
        <v>2.13</v>
      </c>
      <c r="G354" s="4">
        <v>3</v>
      </c>
      <c r="H354" s="8">
        <v>0.57999999999999996</v>
      </c>
      <c r="I354" s="4">
        <v>0</v>
      </c>
    </row>
    <row r="355" spans="1:9" x14ac:dyDescent="0.2">
      <c r="A355" s="2">
        <v>20</v>
      </c>
      <c r="B355" s="1" t="s">
        <v>124</v>
      </c>
      <c r="C355" s="4">
        <v>21</v>
      </c>
      <c r="D355" s="8">
        <v>1.45</v>
      </c>
      <c r="E355" s="4">
        <v>9</v>
      </c>
      <c r="F355" s="8">
        <v>1.01</v>
      </c>
      <c r="G355" s="4">
        <v>12</v>
      </c>
      <c r="H355" s="8">
        <v>2.33</v>
      </c>
      <c r="I355" s="4">
        <v>0</v>
      </c>
    </row>
    <row r="356" spans="1:9" x14ac:dyDescent="0.2">
      <c r="A356" s="1"/>
      <c r="C356" s="4"/>
      <c r="D356" s="8"/>
      <c r="E356" s="4"/>
      <c r="F356" s="8"/>
      <c r="G356" s="4"/>
      <c r="H356" s="8"/>
      <c r="I356" s="4"/>
    </row>
    <row r="357" spans="1:9" x14ac:dyDescent="0.2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2">
      <c r="A358" s="2">
        <v>1</v>
      </c>
      <c r="B358" s="1" t="s">
        <v>132</v>
      </c>
      <c r="C358" s="4">
        <v>145</v>
      </c>
      <c r="D358" s="8">
        <v>7.7</v>
      </c>
      <c r="E358" s="4">
        <v>6</v>
      </c>
      <c r="F358" s="8">
        <v>0.88</v>
      </c>
      <c r="G358" s="4">
        <v>138</v>
      </c>
      <c r="H358" s="8">
        <v>11.68</v>
      </c>
      <c r="I358" s="4">
        <v>1</v>
      </c>
    </row>
    <row r="359" spans="1:9" x14ac:dyDescent="0.2">
      <c r="A359" s="2">
        <v>2</v>
      </c>
      <c r="B359" s="1" t="s">
        <v>141</v>
      </c>
      <c r="C359" s="4">
        <v>89</v>
      </c>
      <c r="D359" s="8">
        <v>4.72</v>
      </c>
      <c r="E359" s="4">
        <v>77</v>
      </c>
      <c r="F359" s="8">
        <v>11.26</v>
      </c>
      <c r="G359" s="4">
        <v>12</v>
      </c>
      <c r="H359" s="8">
        <v>1.02</v>
      </c>
      <c r="I359" s="4">
        <v>0</v>
      </c>
    </row>
    <row r="360" spans="1:9" x14ac:dyDescent="0.2">
      <c r="A360" s="2">
        <v>3</v>
      </c>
      <c r="B360" s="1" t="s">
        <v>138</v>
      </c>
      <c r="C360" s="4">
        <v>87</v>
      </c>
      <c r="D360" s="8">
        <v>4.62</v>
      </c>
      <c r="E360" s="4">
        <v>72</v>
      </c>
      <c r="F360" s="8">
        <v>10.53</v>
      </c>
      <c r="G360" s="4">
        <v>15</v>
      </c>
      <c r="H360" s="8">
        <v>1.27</v>
      </c>
      <c r="I360" s="4">
        <v>0</v>
      </c>
    </row>
    <row r="361" spans="1:9" x14ac:dyDescent="0.2">
      <c r="A361" s="2">
        <v>4</v>
      </c>
      <c r="B361" s="1" t="s">
        <v>133</v>
      </c>
      <c r="C361" s="4">
        <v>64</v>
      </c>
      <c r="D361" s="8">
        <v>3.4</v>
      </c>
      <c r="E361" s="4">
        <v>47</v>
      </c>
      <c r="F361" s="8">
        <v>6.87</v>
      </c>
      <c r="G361" s="4">
        <v>17</v>
      </c>
      <c r="H361" s="8">
        <v>1.44</v>
      </c>
      <c r="I361" s="4">
        <v>0</v>
      </c>
    </row>
    <row r="362" spans="1:9" x14ac:dyDescent="0.2">
      <c r="A362" s="2">
        <v>5</v>
      </c>
      <c r="B362" s="1" t="s">
        <v>130</v>
      </c>
      <c r="C362" s="4">
        <v>61</v>
      </c>
      <c r="D362" s="8">
        <v>3.24</v>
      </c>
      <c r="E362" s="4">
        <v>3</v>
      </c>
      <c r="F362" s="8">
        <v>0.44</v>
      </c>
      <c r="G362" s="4">
        <v>58</v>
      </c>
      <c r="H362" s="8">
        <v>4.91</v>
      </c>
      <c r="I362" s="4">
        <v>0</v>
      </c>
    </row>
    <row r="363" spans="1:9" x14ac:dyDescent="0.2">
      <c r="A363" s="2">
        <v>6</v>
      </c>
      <c r="B363" s="1" t="s">
        <v>125</v>
      </c>
      <c r="C363" s="4">
        <v>58</v>
      </c>
      <c r="D363" s="8">
        <v>3.08</v>
      </c>
      <c r="E363" s="4">
        <v>22</v>
      </c>
      <c r="F363" s="8">
        <v>3.22</v>
      </c>
      <c r="G363" s="4">
        <v>36</v>
      </c>
      <c r="H363" s="8">
        <v>3.05</v>
      </c>
      <c r="I363" s="4">
        <v>0</v>
      </c>
    </row>
    <row r="364" spans="1:9" x14ac:dyDescent="0.2">
      <c r="A364" s="2">
        <v>6</v>
      </c>
      <c r="B364" s="1" t="s">
        <v>143</v>
      </c>
      <c r="C364" s="4">
        <v>58</v>
      </c>
      <c r="D364" s="8">
        <v>3.08</v>
      </c>
      <c r="E364" s="4">
        <v>4</v>
      </c>
      <c r="F364" s="8">
        <v>0.57999999999999996</v>
      </c>
      <c r="G364" s="4">
        <v>52</v>
      </c>
      <c r="H364" s="8">
        <v>4.4000000000000004</v>
      </c>
      <c r="I364" s="4">
        <v>2</v>
      </c>
    </row>
    <row r="365" spans="1:9" x14ac:dyDescent="0.2">
      <c r="A365" s="2">
        <v>8</v>
      </c>
      <c r="B365" s="1" t="s">
        <v>140</v>
      </c>
      <c r="C365" s="4">
        <v>57</v>
      </c>
      <c r="D365" s="8">
        <v>3.03</v>
      </c>
      <c r="E365" s="4">
        <v>34</v>
      </c>
      <c r="F365" s="8">
        <v>4.97</v>
      </c>
      <c r="G365" s="4">
        <v>23</v>
      </c>
      <c r="H365" s="8">
        <v>1.95</v>
      </c>
      <c r="I365" s="4">
        <v>0</v>
      </c>
    </row>
    <row r="366" spans="1:9" x14ac:dyDescent="0.2">
      <c r="A366" s="2">
        <v>9</v>
      </c>
      <c r="B366" s="1" t="s">
        <v>131</v>
      </c>
      <c r="C366" s="4">
        <v>55</v>
      </c>
      <c r="D366" s="8">
        <v>2.92</v>
      </c>
      <c r="E366" s="4">
        <v>2</v>
      </c>
      <c r="F366" s="8">
        <v>0.28999999999999998</v>
      </c>
      <c r="G366" s="4">
        <v>53</v>
      </c>
      <c r="H366" s="8">
        <v>4.4800000000000004</v>
      </c>
      <c r="I366" s="4">
        <v>0</v>
      </c>
    </row>
    <row r="367" spans="1:9" x14ac:dyDescent="0.2">
      <c r="A367" s="2">
        <v>10</v>
      </c>
      <c r="B367" s="1" t="s">
        <v>129</v>
      </c>
      <c r="C367" s="4">
        <v>47</v>
      </c>
      <c r="D367" s="8">
        <v>2.4900000000000002</v>
      </c>
      <c r="E367" s="4">
        <v>26</v>
      </c>
      <c r="F367" s="8">
        <v>3.8</v>
      </c>
      <c r="G367" s="4">
        <v>21</v>
      </c>
      <c r="H367" s="8">
        <v>1.78</v>
      </c>
      <c r="I367" s="4">
        <v>0</v>
      </c>
    </row>
    <row r="368" spans="1:9" x14ac:dyDescent="0.2">
      <c r="A368" s="2">
        <v>11</v>
      </c>
      <c r="B368" s="1" t="s">
        <v>147</v>
      </c>
      <c r="C368" s="4">
        <v>38</v>
      </c>
      <c r="D368" s="8">
        <v>2.02</v>
      </c>
      <c r="E368" s="4">
        <v>1</v>
      </c>
      <c r="F368" s="8">
        <v>0.15</v>
      </c>
      <c r="G368" s="4">
        <v>37</v>
      </c>
      <c r="H368" s="8">
        <v>3.13</v>
      </c>
      <c r="I368" s="4">
        <v>0</v>
      </c>
    </row>
    <row r="369" spans="1:9" x14ac:dyDescent="0.2">
      <c r="A369" s="2">
        <v>12</v>
      </c>
      <c r="B369" s="1" t="s">
        <v>166</v>
      </c>
      <c r="C369" s="4">
        <v>36</v>
      </c>
      <c r="D369" s="8">
        <v>1.91</v>
      </c>
      <c r="E369" s="4">
        <v>25</v>
      </c>
      <c r="F369" s="8">
        <v>3.65</v>
      </c>
      <c r="G369" s="4">
        <v>11</v>
      </c>
      <c r="H369" s="8">
        <v>0.93</v>
      </c>
      <c r="I369" s="4">
        <v>0</v>
      </c>
    </row>
    <row r="370" spans="1:9" x14ac:dyDescent="0.2">
      <c r="A370" s="2">
        <v>13</v>
      </c>
      <c r="B370" s="1" t="s">
        <v>148</v>
      </c>
      <c r="C370" s="4">
        <v>35</v>
      </c>
      <c r="D370" s="8">
        <v>1.86</v>
      </c>
      <c r="E370" s="4">
        <v>1</v>
      </c>
      <c r="F370" s="8">
        <v>0.15</v>
      </c>
      <c r="G370" s="4">
        <v>34</v>
      </c>
      <c r="H370" s="8">
        <v>2.88</v>
      </c>
      <c r="I370" s="4">
        <v>0</v>
      </c>
    </row>
    <row r="371" spans="1:9" x14ac:dyDescent="0.2">
      <c r="A371" s="2">
        <v>13</v>
      </c>
      <c r="B371" s="1" t="s">
        <v>136</v>
      </c>
      <c r="C371" s="4">
        <v>35</v>
      </c>
      <c r="D371" s="8">
        <v>1.86</v>
      </c>
      <c r="E371" s="4">
        <v>27</v>
      </c>
      <c r="F371" s="8">
        <v>3.95</v>
      </c>
      <c r="G371" s="4">
        <v>8</v>
      </c>
      <c r="H371" s="8">
        <v>0.68</v>
      </c>
      <c r="I371" s="4">
        <v>0</v>
      </c>
    </row>
    <row r="372" spans="1:9" x14ac:dyDescent="0.2">
      <c r="A372" s="2">
        <v>15</v>
      </c>
      <c r="B372" s="1" t="s">
        <v>146</v>
      </c>
      <c r="C372" s="4">
        <v>31</v>
      </c>
      <c r="D372" s="8">
        <v>1.65</v>
      </c>
      <c r="E372" s="4">
        <v>6</v>
      </c>
      <c r="F372" s="8">
        <v>0.88</v>
      </c>
      <c r="G372" s="4">
        <v>25</v>
      </c>
      <c r="H372" s="8">
        <v>2.12</v>
      </c>
      <c r="I372" s="4">
        <v>0</v>
      </c>
    </row>
    <row r="373" spans="1:9" x14ac:dyDescent="0.2">
      <c r="A373" s="2">
        <v>16</v>
      </c>
      <c r="B373" s="1" t="s">
        <v>151</v>
      </c>
      <c r="C373" s="4">
        <v>30</v>
      </c>
      <c r="D373" s="8">
        <v>1.59</v>
      </c>
      <c r="E373" s="4">
        <v>13</v>
      </c>
      <c r="F373" s="8">
        <v>1.9</v>
      </c>
      <c r="G373" s="4">
        <v>17</v>
      </c>
      <c r="H373" s="8">
        <v>1.44</v>
      </c>
      <c r="I373" s="4">
        <v>0</v>
      </c>
    </row>
    <row r="374" spans="1:9" x14ac:dyDescent="0.2">
      <c r="A374" s="2">
        <v>17</v>
      </c>
      <c r="B374" s="1" t="s">
        <v>160</v>
      </c>
      <c r="C374" s="4">
        <v>29</v>
      </c>
      <c r="D374" s="8">
        <v>1.54</v>
      </c>
      <c r="E374" s="4">
        <v>3</v>
      </c>
      <c r="F374" s="8">
        <v>0.44</v>
      </c>
      <c r="G374" s="4">
        <v>26</v>
      </c>
      <c r="H374" s="8">
        <v>2.2000000000000002</v>
      </c>
      <c r="I374" s="4">
        <v>0</v>
      </c>
    </row>
    <row r="375" spans="1:9" x14ac:dyDescent="0.2">
      <c r="A375" s="2">
        <v>18</v>
      </c>
      <c r="B375" s="1" t="s">
        <v>126</v>
      </c>
      <c r="C375" s="4">
        <v>26</v>
      </c>
      <c r="D375" s="8">
        <v>1.38</v>
      </c>
      <c r="E375" s="4">
        <v>11</v>
      </c>
      <c r="F375" s="8">
        <v>1.61</v>
      </c>
      <c r="G375" s="4">
        <v>14</v>
      </c>
      <c r="H375" s="8">
        <v>1.18</v>
      </c>
      <c r="I375" s="4">
        <v>1</v>
      </c>
    </row>
    <row r="376" spans="1:9" x14ac:dyDescent="0.2">
      <c r="A376" s="2">
        <v>18</v>
      </c>
      <c r="B376" s="1" t="s">
        <v>128</v>
      </c>
      <c r="C376" s="4">
        <v>26</v>
      </c>
      <c r="D376" s="8">
        <v>1.38</v>
      </c>
      <c r="E376" s="4">
        <v>9</v>
      </c>
      <c r="F376" s="8">
        <v>1.32</v>
      </c>
      <c r="G376" s="4">
        <v>17</v>
      </c>
      <c r="H376" s="8">
        <v>1.44</v>
      </c>
      <c r="I376" s="4">
        <v>0</v>
      </c>
    </row>
    <row r="377" spans="1:9" x14ac:dyDescent="0.2">
      <c r="A377" s="2">
        <v>20</v>
      </c>
      <c r="B377" s="1" t="s">
        <v>167</v>
      </c>
      <c r="C377" s="4">
        <v>25</v>
      </c>
      <c r="D377" s="8">
        <v>1.33</v>
      </c>
      <c r="E377" s="4">
        <v>24</v>
      </c>
      <c r="F377" s="8">
        <v>3.51</v>
      </c>
      <c r="G377" s="4">
        <v>1</v>
      </c>
      <c r="H377" s="8">
        <v>0.08</v>
      </c>
      <c r="I377" s="4">
        <v>0</v>
      </c>
    </row>
    <row r="378" spans="1:9" x14ac:dyDescent="0.2">
      <c r="A378" s="1"/>
      <c r="C378" s="4"/>
      <c r="D378" s="8"/>
      <c r="E378" s="4"/>
      <c r="F378" s="8"/>
      <c r="G378" s="4"/>
      <c r="H378" s="8"/>
      <c r="I378" s="4"/>
    </row>
    <row r="379" spans="1:9" x14ac:dyDescent="0.2">
      <c r="A379" s="1" t="s">
        <v>17</v>
      </c>
      <c r="C379" s="4"/>
      <c r="D379" s="8"/>
      <c r="E379" s="4"/>
      <c r="F379" s="8"/>
      <c r="G379" s="4"/>
      <c r="H379" s="8"/>
      <c r="I379" s="4"/>
    </row>
    <row r="380" spans="1:9" x14ac:dyDescent="0.2">
      <c r="A380" s="2">
        <v>1</v>
      </c>
      <c r="B380" s="1" t="s">
        <v>138</v>
      </c>
      <c r="C380" s="4">
        <v>161</v>
      </c>
      <c r="D380" s="8">
        <v>5.13</v>
      </c>
      <c r="E380" s="4">
        <v>148</v>
      </c>
      <c r="F380" s="8">
        <v>10.28</v>
      </c>
      <c r="G380" s="4">
        <v>13</v>
      </c>
      <c r="H380" s="8">
        <v>0.77</v>
      </c>
      <c r="I380" s="4">
        <v>0</v>
      </c>
    </row>
    <row r="381" spans="1:9" x14ac:dyDescent="0.2">
      <c r="A381" s="2">
        <v>2</v>
      </c>
      <c r="B381" s="1" t="s">
        <v>132</v>
      </c>
      <c r="C381" s="4">
        <v>158</v>
      </c>
      <c r="D381" s="8">
        <v>5.03</v>
      </c>
      <c r="E381" s="4">
        <v>31</v>
      </c>
      <c r="F381" s="8">
        <v>2.15</v>
      </c>
      <c r="G381" s="4">
        <v>127</v>
      </c>
      <c r="H381" s="8">
        <v>7.51</v>
      </c>
      <c r="I381" s="4">
        <v>0</v>
      </c>
    </row>
    <row r="382" spans="1:9" x14ac:dyDescent="0.2">
      <c r="A382" s="2">
        <v>3</v>
      </c>
      <c r="B382" s="1" t="s">
        <v>134</v>
      </c>
      <c r="C382" s="4">
        <v>113</v>
      </c>
      <c r="D382" s="8">
        <v>3.6</v>
      </c>
      <c r="E382" s="4">
        <v>106</v>
      </c>
      <c r="F382" s="8">
        <v>7.36</v>
      </c>
      <c r="G382" s="4">
        <v>7</v>
      </c>
      <c r="H382" s="8">
        <v>0.41</v>
      </c>
      <c r="I382" s="4">
        <v>0</v>
      </c>
    </row>
    <row r="383" spans="1:9" x14ac:dyDescent="0.2">
      <c r="A383" s="2">
        <v>4</v>
      </c>
      <c r="B383" s="1" t="s">
        <v>141</v>
      </c>
      <c r="C383" s="4">
        <v>85</v>
      </c>
      <c r="D383" s="8">
        <v>2.71</v>
      </c>
      <c r="E383" s="4">
        <v>76</v>
      </c>
      <c r="F383" s="8">
        <v>5.28</v>
      </c>
      <c r="G383" s="4">
        <v>9</v>
      </c>
      <c r="H383" s="8">
        <v>0.53</v>
      </c>
      <c r="I383" s="4">
        <v>0</v>
      </c>
    </row>
    <row r="384" spans="1:9" x14ac:dyDescent="0.2">
      <c r="A384" s="2">
        <v>5</v>
      </c>
      <c r="B384" s="1" t="s">
        <v>140</v>
      </c>
      <c r="C384" s="4">
        <v>79</v>
      </c>
      <c r="D384" s="8">
        <v>2.52</v>
      </c>
      <c r="E384" s="4">
        <v>60</v>
      </c>
      <c r="F384" s="8">
        <v>4.17</v>
      </c>
      <c r="G384" s="4">
        <v>18</v>
      </c>
      <c r="H384" s="8">
        <v>1.06</v>
      </c>
      <c r="I384" s="4">
        <v>1</v>
      </c>
    </row>
    <row r="385" spans="1:9" x14ac:dyDescent="0.2">
      <c r="A385" s="2">
        <v>6</v>
      </c>
      <c r="B385" s="1" t="s">
        <v>136</v>
      </c>
      <c r="C385" s="4">
        <v>73</v>
      </c>
      <c r="D385" s="8">
        <v>2.3199999999999998</v>
      </c>
      <c r="E385" s="4">
        <v>71</v>
      </c>
      <c r="F385" s="8">
        <v>4.93</v>
      </c>
      <c r="G385" s="4">
        <v>2</v>
      </c>
      <c r="H385" s="8">
        <v>0.12</v>
      </c>
      <c r="I385" s="4">
        <v>0</v>
      </c>
    </row>
    <row r="386" spans="1:9" x14ac:dyDescent="0.2">
      <c r="A386" s="2">
        <v>6</v>
      </c>
      <c r="B386" s="1" t="s">
        <v>137</v>
      </c>
      <c r="C386" s="4">
        <v>73</v>
      </c>
      <c r="D386" s="8">
        <v>2.3199999999999998</v>
      </c>
      <c r="E386" s="4">
        <v>68</v>
      </c>
      <c r="F386" s="8">
        <v>4.72</v>
      </c>
      <c r="G386" s="4">
        <v>5</v>
      </c>
      <c r="H386" s="8">
        <v>0.3</v>
      </c>
      <c r="I386" s="4">
        <v>0</v>
      </c>
    </row>
    <row r="387" spans="1:9" x14ac:dyDescent="0.2">
      <c r="A387" s="2">
        <v>8</v>
      </c>
      <c r="B387" s="1" t="s">
        <v>133</v>
      </c>
      <c r="C387" s="4">
        <v>71</v>
      </c>
      <c r="D387" s="8">
        <v>2.2599999999999998</v>
      </c>
      <c r="E387" s="4">
        <v>59</v>
      </c>
      <c r="F387" s="8">
        <v>4.0999999999999996</v>
      </c>
      <c r="G387" s="4">
        <v>12</v>
      </c>
      <c r="H387" s="8">
        <v>0.71</v>
      </c>
      <c r="I387" s="4">
        <v>0</v>
      </c>
    </row>
    <row r="388" spans="1:9" x14ac:dyDescent="0.2">
      <c r="A388" s="2">
        <v>9</v>
      </c>
      <c r="B388" s="1" t="s">
        <v>122</v>
      </c>
      <c r="C388" s="4">
        <v>64</v>
      </c>
      <c r="D388" s="8">
        <v>2.04</v>
      </c>
      <c r="E388" s="4">
        <v>11</v>
      </c>
      <c r="F388" s="8">
        <v>0.76</v>
      </c>
      <c r="G388" s="4">
        <v>53</v>
      </c>
      <c r="H388" s="8">
        <v>3.13</v>
      </c>
      <c r="I388" s="4">
        <v>0</v>
      </c>
    </row>
    <row r="389" spans="1:9" x14ac:dyDescent="0.2">
      <c r="A389" s="2">
        <v>9</v>
      </c>
      <c r="B389" s="1" t="s">
        <v>124</v>
      </c>
      <c r="C389" s="4">
        <v>64</v>
      </c>
      <c r="D389" s="8">
        <v>2.04</v>
      </c>
      <c r="E389" s="4">
        <v>9</v>
      </c>
      <c r="F389" s="8">
        <v>0.63</v>
      </c>
      <c r="G389" s="4">
        <v>55</v>
      </c>
      <c r="H389" s="8">
        <v>3.25</v>
      </c>
      <c r="I389" s="4">
        <v>0</v>
      </c>
    </row>
    <row r="390" spans="1:9" x14ac:dyDescent="0.2">
      <c r="A390" s="2">
        <v>11</v>
      </c>
      <c r="B390" s="1" t="s">
        <v>135</v>
      </c>
      <c r="C390" s="4">
        <v>63</v>
      </c>
      <c r="D390" s="8">
        <v>2.0099999999999998</v>
      </c>
      <c r="E390" s="4">
        <v>63</v>
      </c>
      <c r="F390" s="8">
        <v>4.38</v>
      </c>
      <c r="G390" s="4">
        <v>0</v>
      </c>
      <c r="H390" s="8">
        <v>0</v>
      </c>
      <c r="I390" s="4">
        <v>0</v>
      </c>
    </row>
    <row r="391" spans="1:9" x14ac:dyDescent="0.2">
      <c r="A391" s="2">
        <v>12</v>
      </c>
      <c r="B391" s="1" t="s">
        <v>131</v>
      </c>
      <c r="C391" s="4">
        <v>61</v>
      </c>
      <c r="D391" s="8">
        <v>1.94</v>
      </c>
      <c r="E391" s="4">
        <v>2</v>
      </c>
      <c r="F391" s="8">
        <v>0.14000000000000001</v>
      </c>
      <c r="G391" s="4">
        <v>59</v>
      </c>
      <c r="H391" s="8">
        <v>3.49</v>
      </c>
      <c r="I391" s="4">
        <v>0</v>
      </c>
    </row>
    <row r="392" spans="1:9" x14ac:dyDescent="0.2">
      <c r="A392" s="2">
        <v>13</v>
      </c>
      <c r="B392" s="1" t="s">
        <v>127</v>
      </c>
      <c r="C392" s="4">
        <v>58</v>
      </c>
      <c r="D392" s="8">
        <v>1.85</v>
      </c>
      <c r="E392" s="4">
        <v>29</v>
      </c>
      <c r="F392" s="8">
        <v>2.0099999999999998</v>
      </c>
      <c r="G392" s="4">
        <v>29</v>
      </c>
      <c r="H392" s="8">
        <v>1.71</v>
      </c>
      <c r="I392" s="4">
        <v>0</v>
      </c>
    </row>
    <row r="393" spans="1:9" x14ac:dyDescent="0.2">
      <c r="A393" s="2">
        <v>14</v>
      </c>
      <c r="B393" s="1" t="s">
        <v>143</v>
      </c>
      <c r="C393" s="4">
        <v>55</v>
      </c>
      <c r="D393" s="8">
        <v>1.75</v>
      </c>
      <c r="E393" s="4">
        <v>2</v>
      </c>
      <c r="F393" s="8">
        <v>0.14000000000000001</v>
      </c>
      <c r="G393" s="4">
        <v>52</v>
      </c>
      <c r="H393" s="8">
        <v>3.07</v>
      </c>
      <c r="I393" s="4">
        <v>0</v>
      </c>
    </row>
    <row r="394" spans="1:9" x14ac:dyDescent="0.2">
      <c r="A394" s="2">
        <v>15</v>
      </c>
      <c r="B394" s="1" t="s">
        <v>129</v>
      </c>
      <c r="C394" s="4">
        <v>54</v>
      </c>
      <c r="D394" s="8">
        <v>1.72</v>
      </c>
      <c r="E394" s="4">
        <v>40</v>
      </c>
      <c r="F394" s="8">
        <v>2.78</v>
      </c>
      <c r="G394" s="4">
        <v>14</v>
      </c>
      <c r="H394" s="8">
        <v>0.83</v>
      </c>
      <c r="I394" s="4">
        <v>0</v>
      </c>
    </row>
    <row r="395" spans="1:9" x14ac:dyDescent="0.2">
      <c r="A395" s="2">
        <v>16</v>
      </c>
      <c r="B395" s="1" t="s">
        <v>130</v>
      </c>
      <c r="C395" s="4">
        <v>53</v>
      </c>
      <c r="D395" s="8">
        <v>1.69</v>
      </c>
      <c r="E395" s="4">
        <v>7</v>
      </c>
      <c r="F395" s="8">
        <v>0.49</v>
      </c>
      <c r="G395" s="4">
        <v>46</v>
      </c>
      <c r="H395" s="8">
        <v>2.72</v>
      </c>
      <c r="I395" s="4">
        <v>0</v>
      </c>
    </row>
    <row r="396" spans="1:9" x14ac:dyDescent="0.2">
      <c r="A396" s="2">
        <v>17</v>
      </c>
      <c r="B396" s="1" t="s">
        <v>159</v>
      </c>
      <c r="C396" s="4">
        <v>52</v>
      </c>
      <c r="D396" s="8">
        <v>1.66</v>
      </c>
      <c r="E396" s="4">
        <v>12</v>
      </c>
      <c r="F396" s="8">
        <v>0.83</v>
      </c>
      <c r="G396" s="4">
        <v>40</v>
      </c>
      <c r="H396" s="8">
        <v>2.36</v>
      </c>
      <c r="I396" s="4">
        <v>0</v>
      </c>
    </row>
    <row r="397" spans="1:9" x14ac:dyDescent="0.2">
      <c r="A397" s="2">
        <v>18</v>
      </c>
      <c r="B397" s="1" t="s">
        <v>123</v>
      </c>
      <c r="C397" s="4">
        <v>51</v>
      </c>
      <c r="D397" s="8">
        <v>1.62</v>
      </c>
      <c r="E397" s="4">
        <v>4</v>
      </c>
      <c r="F397" s="8">
        <v>0.28000000000000003</v>
      </c>
      <c r="G397" s="4">
        <v>47</v>
      </c>
      <c r="H397" s="8">
        <v>2.78</v>
      </c>
      <c r="I397" s="4">
        <v>0</v>
      </c>
    </row>
    <row r="398" spans="1:9" x14ac:dyDescent="0.2">
      <c r="A398" s="2">
        <v>18</v>
      </c>
      <c r="B398" s="1" t="s">
        <v>139</v>
      </c>
      <c r="C398" s="4">
        <v>51</v>
      </c>
      <c r="D398" s="8">
        <v>1.62</v>
      </c>
      <c r="E398" s="4">
        <v>36</v>
      </c>
      <c r="F398" s="8">
        <v>2.5</v>
      </c>
      <c r="G398" s="4">
        <v>15</v>
      </c>
      <c r="H398" s="8">
        <v>0.89</v>
      </c>
      <c r="I398" s="4">
        <v>0</v>
      </c>
    </row>
    <row r="399" spans="1:9" x14ac:dyDescent="0.2">
      <c r="A399" s="2">
        <v>20</v>
      </c>
      <c r="B399" s="1" t="s">
        <v>126</v>
      </c>
      <c r="C399" s="4">
        <v>48</v>
      </c>
      <c r="D399" s="8">
        <v>1.53</v>
      </c>
      <c r="E399" s="4">
        <v>28</v>
      </c>
      <c r="F399" s="8">
        <v>1.94</v>
      </c>
      <c r="G399" s="4">
        <v>19</v>
      </c>
      <c r="H399" s="8">
        <v>1.1200000000000001</v>
      </c>
      <c r="I399" s="4">
        <v>1</v>
      </c>
    </row>
    <row r="400" spans="1:9" x14ac:dyDescent="0.2">
      <c r="A400" s="1"/>
      <c r="C400" s="4"/>
      <c r="D400" s="8"/>
      <c r="E400" s="4"/>
      <c r="F400" s="8"/>
      <c r="G400" s="4"/>
      <c r="H400" s="8"/>
      <c r="I400" s="4"/>
    </row>
    <row r="401" spans="1:9" x14ac:dyDescent="0.2">
      <c r="A401" s="1" t="s">
        <v>18</v>
      </c>
      <c r="C401" s="4"/>
      <c r="D401" s="8"/>
      <c r="E401" s="4"/>
      <c r="F401" s="8"/>
      <c r="G401" s="4"/>
      <c r="H401" s="8"/>
      <c r="I401" s="4"/>
    </row>
    <row r="402" spans="1:9" x14ac:dyDescent="0.2">
      <c r="A402" s="2">
        <v>1</v>
      </c>
      <c r="B402" s="1" t="s">
        <v>132</v>
      </c>
      <c r="C402" s="4">
        <v>51</v>
      </c>
      <c r="D402" s="8">
        <v>7.04</v>
      </c>
      <c r="E402" s="4">
        <v>38</v>
      </c>
      <c r="F402" s="8">
        <v>8.74</v>
      </c>
      <c r="G402" s="4">
        <v>12</v>
      </c>
      <c r="H402" s="8">
        <v>4.4400000000000004</v>
      </c>
      <c r="I402" s="4">
        <v>0</v>
      </c>
    </row>
    <row r="403" spans="1:9" x14ac:dyDescent="0.2">
      <c r="A403" s="2">
        <v>2</v>
      </c>
      <c r="B403" s="1" t="s">
        <v>138</v>
      </c>
      <c r="C403" s="4">
        <v>49</v>
      </c>
      <c r="D403" s="8">
        <v>6.77</v>
      </c>
      <c r="E403" s="4">
        <v>46</v>
      </c>
      <c r="F403" s="8">
        <v>10.57</v>
      </c>
      <c r="G403" s="4">
        <v>3</v>
      </c>
      <c r="H403" s="8">
        <v>1.1100000000000001</v>
      </c>
      <c r="I403" s="4">
        <v>0</v>
      </c>
    </row>
    <row r="404" spans="1:9" x14ac:dyDescent="0.2">
      <c r="A404" s="2">
        <v>3</v>
      </c>
      <c r="B404" s="1" t="s">
        <v>136</v>
      </c>
      <c r="C404" s="4">
        <v>23</v>
      </c>
      <c r="D404" s="8">
        <v>3.18</v>
      </c>
      <c r="E404" s="4">
        <v>23</v>
      </c>
      <c r="F404" s="8">
        <v>5.29</v>
      </c>
      <c r="G404" s="4">
        <v>0</v>
      </c>
      <c r="H404" s="8">
        <v>0</v>
      </c>
      <c r="I404" s="4">
        <v>0</v>
      </c>
    </row>
    <row r="405" spans="1:9" x14ac:dyDescent="0.2">
      <c r="A405" s="2">
        <v>4</v>
      </c>
      <c r="B405" s="1" t="s">
        <v>140</v>
      </c>
      <c r="C405" s="4">
        <v>22</v>
      </c>
      <c r="D405" s="8">
        <v>3.04</v>
      </c>
      <c r="E405" s="4">
        <v>19</v>
      </c>
      <c r="F405" s="8">
        <v>4.37</v>
      </c>
      <c r="G405" s="4">
        <v>3</v>
      </c>
      <c r="H405" s="8">
        <v>1.1100000000000001</v>
      </c>
      <c r="I405" s="4">
        <v>0</v>
      </c>
    </row>
    <row r="406" spans="1:9" x14ac:dyDescent="0.2">
      <c r="A406" s="2">
        <v>5</v>
      </c>
      <c r="B406" s="1" t="s">
        <v>129</v>
      </c>
      <c r="C406" s="4">
        <v>21</v>
      </c>
      <c r="D406" s="8">
        <v>2.9</v>
      </c>
      <c r="E406" s="4">
        <v>14</v>
      </c>
      <c r="F406" s="8">
        <v>3.22</v>
      </c>
      <c r="G406" s="4">
        <v>7</v>
      </c>
      <c r="H406" s="8">
        <v>2.59</v>
      </c>
      <c r="I406" s="4">
        <v>0</v>
      </c>
    </row>
    <row r="407" spans="1:9" x14ac:dyDescent="0.2">
      <c r="A407" s="2">
        <v>6</v>
      </c>
      <c r="B407" s="1" t="s">
        <v>137</v>
      </c>
      <c r="C407" s="4">
        <v>19</v>
      </c>
      <c r="D407" s="8">
        <v>2.62</v>
      </c>
      <c r="E407" s="4">
        <v>18</v>
      </c>
      <c r="F407" s="8">
        <v>4.1399999999999997</v>
      </c>
      <c r="G407" s="4">
        <v>1</v>
      </c>
      <c r="H407" s="8">
        <v>0.37</v>
      </c>
      <c r="I407" s="4">
        <v>0</v>
      </c>
    </row>
    <row r="408" spans="1:9" x14ac:dyDescent="0.2">
      <c r="A408" s="2">
        <v>7</v>
      </c>
      <c r="B408" s="1" t="s">
        <v>141</v>
      </c>
      <c r="C408" s="4">
        <v>18</v>
      </c>
      <c r="D408" s="8">
        <v>2.4900000000000002</v>
      </c>
      <c r="E408" s="4">
        <v>18</v>
      </c>
      <c r="F408" s="8">
        <v>4.1399999999999997</v>
      </c>
      <c r="G408" s="4">
        <v>0</v>
      </c>
      <c r="H408" s="8">
        <v>0</v>
      </c>
      <c r="I408" s="4">
        <v>0</v>
      </c>
    </row>
    <row r="409" spans="1:9" x14ac:dyDescent="0.2">
      <c r="A409" s="2">
        <v>8</v>
      </c>
      <c r="B409" s="1" t="s">
        <v>124</v>
      </c>
      <c r="C409" s="4">
        <v>17</v>
      </c>
      <c r="D409" s="8">
        <v>2.35</v>
      </c>
      <c r="E409" s="4">
        <v>8</v>
      </c>
      <c r="F409" s="8">
        <v>1.84</v>
      </c>
      <c r="G409" s="4">
        <v>9</v>
      </c>
      <c r="H409" s="8">
        <v>3.33</v>
      </c>
      <c r="I409" s="4">
        <v>0</v>
      </c>
    </row>
    <row r="410" spans="1:9" x14ac:dyDescent="0.2">
      <c r="A410" s="2">
        <v>9</v>
      </c>
      <c r="B410" s="1" t="s">
        <v>142</v>
      </c>
      <c r="C410" s="4">
        <v>16</v>
      </c>
      <c r="D410" s="8">
        <v>2.21</v>
      </c>
      <c r="E410" s="4">
        <v>13</v>
      </c>
      <c r="F410" s="8">
        <v>2.99</v>
      </c>
      <c r="G410" s="4">
        <v>3</v>
      </c>
      <c r="H410" s="8">
        <v>1.1100000000000001</v>
      </c>
      <c r="I410" s="4">
        <v>0</v>
      </c>
    </row>
    <row r="411" spans="1:9" x14ac:dyDescent="0.2">
      <c r="A411" s="2">
        <v>9</v>
      </c>
      <c r="B411" s="1" t="s">
        <v>135</v>
      </c>
      <c r="C411" s="4">
        <v>16</v>
      </c>
      <c r="D411" s="8">
        <v>2.21</v>
      </c>
      <c r="E411" s="4">
        <v>14</v>
      </c>
      <c r="F411" s="8">
        <v>3.22</v>
      </c>
      <c r="G411" s="4">
        <v>2</v>
      </c>
      <c r="H411" s="8">
        <v>0.74</v>
      </c>
      <c r="I411" s="4">
        <v>0</v>
      </c>
    </row>
    <row r="412" spans="1:9" x14ac:dyDescent="0.2">
      <c r="A412" s="2">
        <v>9</v>
      </c>
      <c r="B412" s="1" t="s">
        <v>139</v>
      </c>
      <c r="C412" s="4">
        <v>16</v>
      </c>
      <c r="D412" s="8">
        <v>2.21</v>
      </c>
      <c r="E412" s="4">
        <v>13</v>
      </c>
      <c r="F412" s="8">
        <v>2.99</v>
      </c>
      <c r="G412" s="4">
        <v>3</v>
      </c>
      <c r="H412" s="8">
        <v>1.1100000000000001</v>
      </c>
      <c r="I412" s="4">
        <v>0</v>
      </c>
    </row>
    <row r="413" spans="1:9" x14ac:dyDescent="0.2">
      <c r="A413" s="2">
        <v>12</v>
      </c>
      <c r="B413" s="1" t="s">
        <v>122</v>
      </c>
      <c r="C413" s="4">
        <v>15</v>
      </c>
      <c r="D413" s="8">
        <v>2.0699999999999998</v>
      </c>
      <c r="E413" s="4">
        <v>5</v>
      </c>
      <c r="F413" s="8">
        <v>1.1499999999999999</v>
      </c>
      <c r="G413" s="4">
        <v>10</v>
      </c>
      <c r="H413" s="8">
        <v>3.7</v>
      </c>
      <c r="I413" s="4">
        <v>0</v>
      </c>
    </row>
    <row r="414" spans="1:9" x14ac:dyDescent="0.2">
      <c r="A414" s="2">
        <v>13</v>
      </c>
      <c r="B414" s="1" t="s">
        <v>127</v>
      </c>
      <c r="C414" s="4">
        <v>12</v>
      </c>
      <c r="D414" s="8">
        <v>1.66</v>
      </c>
      <c r="E414" s="4">
        <v>7</v>
      </c>
      <c r="F414" s="8">
        <v>1.61</v>
      </c>
      <c r="G414" s="4">
        <v>5</v>
      </c>
      <c r="H414" s="8">
        <v>1.85</v>
      </c>
      <c r="I414" s="4">
        <v>0</v>
      </c>
    </row>
    <row r="415" spans="1:9" x14ac:dyDescent="0.2">
      <c r="A415" s="2">
        <v>13</v>
      </c>
      <c r="B415" s="1" t="s">
        <v>133</v>
      </c>
      <c r="C415" s="4">
        <v>12</v>
      </c>
      <c r="D415" s="8">
        <v>1.66</v>
      </c>
      <c r="E415" s="4">
        <v>9</v>
      </c>
      <c r="F415" s="8">
        <v>2.0699999999999998</v>
      </c>
      <c r="G415" s="4">
        <v>3</v>
      </c>
      <c r="H415" s="8">
        <v>1.1100000000000001</v>
      </c>
      <c r="I415" s="4">
        <v>0</v>
      </c>
    </row>
    <row r="416" spans="1:9" x14ac:dyDescent="0.2">
      <c r="A416" s="2">
        <v>15</v>
      </c>
      <c r="B416" s="1" t="s">
        <v>151</v>
      </c>
      <c r="C416" s="4">
        <v>11</v>
      </c>
      <c r="D416" s="8">
        <v>1.52</v>
      </c>
      <c r="E416" s="4">
        <v>10</v>
      </c>
      <c r="F416" s="8">
        <v>2.2999999999999998</v>
      </c>
      <c r="G416" s="4">
        <v>1</v>
      </c>
      <c r="H416" s="8">
        <v>0.37</v>
      </c>
      <c r="I416" s="4">
        <v>0</v>
      </c>
    </row>
    <row r="417" spans="1:9" x14ac:dyDescent="0.2">
      <c r="A417" s="2">
        <v>15</v>
      </c>
      <c r="B417" s="1" t="s">
        <v>134</v>
      </c>
      <c r="C417" s="4">
        <v>11</v>
      </c>
      <c r="D417" s="8">
        <v>1.52</v>
      </c>
      <c r="E417" s="4">
        <v>10</v>
      </c>
      <c r="F417" s="8">
        <v>2.2999999999999998</v>
      </c>
      <c r="G417" s="4">
        <v>1</v>
      </c>
      <c r="H417" s="8">
        <v>0.37</v>
      </c>
      <c r="I417" s="4">
        <v>0</v>
      </c>
    </row>
    <row r="418" spans="1:9" x14ac:dyDescent="0.2">
      <c r="A418" s="2">
        <v>17</v>
      </c>
      <c r="B418" s="1" t="s">
        <v>123</v>
      </c>
      <c r="C418" s="4">
        <v>10</v>
      </c>
      <c r="D418" s="8">
        <v>1.38</v>
      </c>
      <c r="E418" s="4">
        <v>3</v>
      </c>
      <c r="F418" s="8">
        <v>0.69</v>
      </c>
      <c r="G418" s="4">
        <v>7</v>
      </c>
      <c r="H418" s="8">
        <v>2.59</v>
      </c>
      <c r="I418" s="4">
        <v>0</v>
      </c>
    </row>
    <row r="419" spans="1:9" x14ac:dyDescent="0.2">
      <c r="A419" s="2">
        <v>17</v>
      </c>
      <c r="B419" s="1" t="s">
        <v>168</v>
      </c>
      <c r="C419" s="4">
        <v>10</v>
      </c>
      <c r="D419" s="8">
        <v>1.38</v>
      </c>
      <c r="E419" s="4">
        <v>2</v>
      </c>
      <c r="F419" s="8">
        <v>0.46</v>
      </c>
      <c r="G419" s="4">
        <v>8</v>
      </c>
      <c r="H419" s="8">
        <v>2.96</v>
      </c>
      <c r="I419" s="4">
        <v>0</v>
      </c>
    </row>
    <row r="420" spans="1:9" x14ac:dyDescent="0.2">
      <c r="A420" s="2">
        <v>17</v>
      </c>
      <c r="B420" s="1" t="s">
        <v>154</v>
      </c>
      <c r="C420" s="4">
        <v>10</v>
      </c>
      <c r="D420" s="8">
        <v>1.38</v>
      </c>
      <c r="E420" s="4">
        <v>8</v>
      </c>
      <c r="F420" s="8">
        <v>1.84</v>
      </c>
      <c r="G420" s="4">
        <v>2</v>
      </c>
      <c r="H420" s="8">
        <v>0.74</v>
      </c>
      <c r="I420" s="4">
        <v>0</v>
      </c>
    </row>
    <row r="421" spans="1:9" x14ac:dyDescent="0.2">
      <c r="A421" s="2">
        <v>17</v>
      </c>
      <c r="B421" s="1" t="s">
        <v>165</v>
      </c>
      <c r="C421" s="4">
        <v>10</v>
      </c>
      <c r="D421" s="8">
        <v>1.38</v>
      </c>
      <c r="E421" s="4">
        <v>10</v>
      </c>
      <c r="F421" s="8">
        <v>2.2999999999999998</v>
      </c>
      <c r="G421" s="4">
        <v>0</v>
      </c>
      <c r="H421" s="8">
        <v>0</v>
      </c>
      <c r="I421" s="4">
        <v>0</v>
      </c>
    </row>
    <row r="422" spans="1:9" x14ac:dyDescent="0.2">
      <c r="A422" s="1"/>
      <c r="C422" s="4"/>
      <c r="D422" s="8"/>
      <c r="E422" s="4"/>
      <c r="F422" s="8"/>
      <c r="G422" s="4"/>
      <c r="H422" s="8"/>
      <c r="I422" s="4"/>
    </row>
    <row r="423" spans="1:9" x14ac:dyDescent="0.2">
      <c r="A423" s="1" t="s">
        <v>19</v>
      </c>
      <c r="C423" s="4"/>
      <c r="D423" s="8"/>
      <c r="E423" s="4"/>
      <c r="F423" s="8"/>
      <c r="G423" s="4"/>
      <c r="H423" s="8"/>
      <c r="I423" s="4"/>
    </row>
    <row r="424" spans="1:9" x14ac:dyDescent="0.2">
      <c r="A424" s="2">
        <v>1</v>
      </c>
      <c r="B424" s="1" t="s">
        <v>138</v>
      </c>
      <c r="C424" s="4">
        <v>115</v>
      </c>
      <c r="D424" s="8">
        <v>3.96</v>
      </c>
      <c r="E424" s="4">
        <v>110</v>
      </c>
      <c r="F424" s="8">
        <v>5.69</v>
      </c>
      <c r="G424" s="4">
        <v>5</v>
      </c>
      <c r="H424" s="8">
        <v>0.55000000000000004</v>
      </c>
      <c r="I424" s="4">
        <v>0</v>
      </c>
    </row>
    <row r="425" spans="1:9" x14ac:dyDescent="0.2">
      <c r="A425" s="2">
        <v>2</v>
      </c>
      <c r="B425" s="1" t="s">
        <v>171</v>
      </c>
      <c r="C425" s="4">
        <v>114</v>
      </c>
      <c r="D425" s="8">
        <v>3.93</v>
      </c>
      <c r="E425" s="4">
        <v>102</v>
      </c>
      <c r="F425" s="8">
        <v>5.28</v>
      </c>
      <c r="G425" s="4">
        <v>12</v>
      </c>
      <c r="H425" s="8">
        <v>1.32</v>
      </c>
      <c r="I425" s="4">
        <v>0</v>
      </c>
    </row>
    <row r="426" spans="1:9" x14ac:dyDescent="0.2">
      <c r="A426" s="2">
        <v>3</v>
      </c>
      <c r="B426" s="1" t="s">
        <v>136</v>
      </c>
      <c r="C426" s="4">
        <v>108</v>
      </c>
      <c r="D426" s="8">
        <v>3.72</v>
      </c>
      <c r="E426" s="4">
        <v>98</v>
      </c>
      <c r="F426" s="8">
        <v>5.07</v>
      </c>
      <c r="G426" s="4">
        <v>10</v>
      </c>
      <c r="H426" s="8">
        <v>1.1000000000000001</v>
      </c>
      <c r="I426" s="4">
        <v>0</v>
      </c>
    </row>
    <row r="427" spans="1:9" x14ac:dyDescent="0.2">
      <c r="A427" s="2">
        <v>4</v>
      </c>
      <c r="B427" s="1" t="s">
        <v>132</v>
      </c>
      <c r="C427" s="4">
        <v>99</v>
      </c>
      <c r="D427" s="8">
        <v>3.41</v>
      </c>
      <c r="E427" s="4">
        <v>63</v>
      </c>
      <c r="F427" s="8">
        <v>3.26</v>
      </c>
      <c r="G427" s="4">
        <v>36</v>
      </c>
      <c r="H427" s="8">
        <v>3.96</v>
      </c>
      <c r="I427" s="4">
        <v>0</v>
      </c>
    </row>
    <row r="428" spans="1:9" x14ac:dyDescent="0.2">
      <c r="A428" s="2">
        <v>5</v>
      </c>
      <c r="B428" s="1" t="s">
        <v>170</v>
      </c>
      <c r="C428" s="4">
        <v>81</v>
      </c>
      <c r="D428" s="8">
        <v>2.79</v>
      </c>
      <c r="E428" s="4">
        <v>60</v>
      </c>
      <c r="F428" s="8">
        <v>3.11</v>
      </c>
      <c r="G428" s="4">
        <v>21</v>
      </c>
      <c r="H428" s="8">
        <v>2.31</v>
      </c>
      <c r="I428" s="4">
        <v>0</v>
      </c>
    </row>
    <row r="429" spans="1:9" x14ac:dyDescent="0.2">
      <c r="A429" s="2">
        <v>6</v>
      </c>
      <c r="B429" s="1" t="s">
        <v>135</v>
      </c>
      <c r="C429" s="4">
        <v>74</v>
      </c>
      <c r="D429" s="8">
        <v>2.5499999999999998</v>
      </c>
      <c r="E429" s="4">
        <v>71</v>
      </c>
      <c r="F429" s="8">
        <v>3.67</v>
      </c>
      <c r="G429" s="4">
        <v>3</v>
      </c>
      <c r="H429" s="8">
        <v>0.33</v>
      </c>
      <c r="I429" s="4">
        <v>0</v>
      </c>
    </row>
    <row r="430" spans="1:9" x14ac:dyDescent="0.2">
      <c r="A430" s="2">
        <v>7</v>
      </c>
      <c r="B430" s="1" t="s">
        <v>133</v>
      </c>
      <c r="C430" s="4">
        <v>71</v>
      </c>
      <c r="D430" s="8">
        <v>2.4500000000000002</v>
      </c>
      <c r="E430" s="4">
        <v>58</v>
      </c>
      <c r="F430" s="8">
        <v>3</v>
      </c>
      <c r="G430" s="4">
        <v>13</v>
      </c>
      <c r="H430" s="8">
        <v>1.43</v>
      </c>
      <c r="I430" s="4">
        <v>0</v>
      </c>
    </row>
    <row r="431" spans="1:9" x14ac:dyDescent="0.2">
      <c r="A431" s="2">
        <v>7</v>
      </c>
      <c r="B431" s="1" t="s">
        <v>137</v>
      </c>
      <c r="C431" s="4">
        <v>71</v>
      </c>
      <c r="D431" s="8">
        <v>2.4500000000000002</v>
      </c>
      <c r="E431" s="4">
        <v>70</v>
      </c>
      <c r="F431" s="8">
        <v>3.62</v>
      </c>
      <c r="G431" s="4">
        <v>1</v>
      </c>
      <c r="H431" s="8">
        <v>0.11</v>
      </c>
      <c r="I431" s="4">
        <v>0</v>
      </c>
    </row>
    <row r="432" spans="1:9" x14ac:dyDescent="0.2">
      <c r="A432" s="2">
        <v>9</v>
      </c>
      <c r="B432" s="1" t="s">
        <v>129</v>
      </c>
      <c r="C432" s="4">
        <v>62</v>
      </c>
      <c r="D432" s="8">
        <v>2.14</v>
      </c>
      <c r="E432" s="4">
        <v>47</v>
      </c>
      <c r="F432" s="8">
        <v>2.4300000000000002</v>
      </c>
      <c r="G432" s="4">
        <v>15</v>
      </c>
      <c r="H432" s="8">
        <v>1.65</v>
      </c>
      <c r="I432" s="4">
        <v>0</v>
      </c>
    </row>
    <row r="433" spans="1:9" x14ac:dyDescent="0.2">
      <c r="A433" s="2">
        <v>10</v>
      </c>
      <c r="B433" s="1" t="s">
        <v>122</v>
      </c>
      <c r="C433" s="4">
        <v>61</v>
      </c>
      <c r="D433" s="8">
        <v>2.1</v>
      </c>
      <c r="E433" s="4">
        <v>20</v>
      </c>
      <c r="F433" s="8">
        <v>1.04</v>
      </c>
      <c r="G433" s="4">
        <v>41</v>
      </c>
      <c r="H433" s="8">
        <v>4.51</v>
      </c>
      <c r="I433" s="4">
        <v>0</v>
      </c>
    </row>
    <row r="434" spans="1:9" x14ac:dyDescent="0.2">
      <c r="A434" s="2">
        <v>11</v>
      </c>
      <c r="B434" s="1" t="s">
        <v>169</v>
      </c>
      <c r="C434" s="4">
        <v>58</v>
      </c>
      <c r="D434" s="8">
        <v>2</v>
      </c>
      <c r="E434" s="4">
        <v>39</v>
      </c>
      <c r="F434" s="8">
        <v>2.02</v>
      </c>
      <c r="G434" s="4">
        <v>19</v>
      </c>
      <c r="H434" s="8">
        <v>2.09</v>
      </c>
      <c r="I434" s="4">
        <v>0</v>
      </c>
    </row>
    <row r="435" spans="1:9" x14ac:dyDescent="0.2">
      <c r="A435" s="2">
        <v>11</v>
      </c>
      <c r="B435" s="1" t="s">
        <v>151</v>
      </c>
      <c r="C435" s="4">
        <v>58</v>
      </c>
      <c r="D435" s="8">
        <v>2</v>
      </c>
      <c r="E435" s="4">
        <v>39</v>
      </c>
      <c r="F435" s="8">
        <v>2.02</v>
      </c>
      <c r="G435" s="4">
        <v>19</v>
      </c>
      <c r="H435" s="8">
        <v>2.09</v>
      </c>
      <c r="I435" s="4">
        <v>0</v>
      </c>
    </row>
    <row r="436" spans="1:9" x14ac:dyDescent="0.2">
      <c r="A436" s="2">
        <v>13</v>
      </c>
      <c r="B436" s="1" t="s">
        <v>127</v>
      </c>
      <c r="C436" s="4">
        <v>56</v>
      </c>
      <c r="D436" s="8">
        <v>1.93</v>
      </c>
      <c r="E436" s="4">
        <v>33</v>
      </c>
      <c r="F436" s="8">
        <v>1.71</v>
      </c>
      <c r="G436" s="4">
        <v>23</v>
      </c>
      <c r="H436" s="8">
        <v>2.5299999999999998</v>
      </c>
      <c r="I436" s="4">
        <v>0</v>
      </c>
    </row>
    <row r="437" spans="1:9" x14ac:dyDescent="0.2">
      <c r="A437" s="2">
        <v>13</v>
      </c>
      <c r="B437" s="1" t="s">
        <v>134</v>
      </c>
      <c r="C437" s="4">
        <v>56</v>
      </c>
      <c r="D437" s="8">
        <v>1.93</v>
      </c>
      <c r="E437" s="4">
        <v>52</v>
      </c>
      <c r="F437" s="8">
        <v>2.69</v>
      </c>
      <c r="G437" s="4">
        <v>4</v>
      </c>
      <c r="H437" s="8">
        <v>0.44</v>
      </c>
      <c r="I437" s="4">
        <v>0</v>
      </c>
    </row>
    <row r="438" spans="1:9" x14ac:dyDescent="0.2">
      <c r="A438" s="2">
        <v>15</v>
      </c>
      <c r="B438" s="1" t="s">
        <v>140</v>
      </c>
      <c r="C438" s="4">
        <v>52</v>
      </c>
      <c r="D438" s="8">
        <v>1.79</v>
      </c>
      <c r="E438" s="4">
        <v>45</v>
      </c>
      <c r="F438" s="8">
        <v>2.33</v>
      </c>
      <c r="G438" s="4">
        <v>7</v>
      </c>
      <c r="H438" s="8">
        <v>0.77</v>
      </c>
      <c r="I438" s="4">
        <v>0</v>
      </c>
    </row>
    <row r="439" spans="1:9" x14ac:dyDescent="0.2">
      <c r="A439" s="2">
        <v>16</v>
      </c>
      <c r="B439" s="1" t="s">
        <v>124</v>
      </c>
      <c r="C439" s="4">
        <v>50</v>
      </c>
      <c r="D439" s="8">
        <v>1.72</v>
      </c>
      <c r="E439" s="4">
        <v>34</v>
      </c>
      <c r="F439" s="8">
        <v>1.76</v>
      </c>
      <c r="G439" s="4">
        <v>16</v>
      </c>
      <c r="H439" s="8">
        <v>1.76</v>
      </c>
      <c r="I439" s="4">
        <v>0</v>
      </c>
    </row>
    <row r="440" spans="1:9" x14ac:dyDescent="0.2">
      <c r="A440" s="2">
        <v>16</v>
      </c>
      <c r="B440" s="1" t="s">
        <v>141</v>
      </c>
      <c r="C440" s="4">
        <v>50</v>
      </c>
      <c r="D440" s="8">
        <v>1.72</v>
      </c>
      <c r="E440" s="4">
        <v>48</v>
      </c>
      <c r="F440" s="8">
        <v>2.48</v>
      </c>
      <c r="G440" s="4">
        <v>2</v>
      </c>
      <c r="H440" s="8">
        <v>0.22</v>
      </c>
      <c r="I440" s="4">
        <v>0</v>
      </c>
    </row>
    <row r="441" spans="1:9" x14ac:dyDescent="0.2">
      <c r="A441" s="2">
        <v>18</v>
      </c>
      <c r="B441" s="1" t="s">
        <v>128</v>
      </c>
      <c r="C441" s="4">
        <v>48</v>
      </c>
      <c r="D441" s="8">
        <v>1.65</v>
      </c>
      <c r="E441" s="4">
        <v>28</v>
      </c>
      <c r="F441" s="8">
        <v>1.45</v>
      </c>
      <c r="G441" s="4">
        <v>20</v>
      </c>
      <c r="H441" s="8">
        <v>2.2000000000000002</v>
      </c>
      <c r="I441" s="4">
        <v>0</v>
      </c>
    </row>
    <row r="442" spans="1:9" x14ac:dyDescent="0.2">
      <c r="A442" s="2">
        <v>19</v>
      </c>
      <c r="B442" s="1" t="s">
        <v>126</v>
      </c>
      <c r="C442" s="4">
        <v>46</v>
      </c>
      <c r="D442" s="8">
        <v>1.59</v>
      </c>
      <c r="E442" s="4">
        <v>33</v>
      </c>
      <c r="F442" s="8">
        <v>1.71</v>
      </c>
      <c r="G442" s="4">
        <v>13</v>
      </c>
      <c r="H442" s="8">
        <v>1.43</v>
      </c>
      <c r="I442" s="4">
        <v>0</v>
      </c>
    </row>
    <row r="443" spans="1:9" x14ac:dyDescent="0.2">
      <c r="A443" s="2">
        <v>20</v>
      </c>
      <c r="B443" s="1" t="s">
        <v>123</v>
      </c>
      <c r="C443" s="4">
        <v>44</v>
      </c>
      <c r="D443" s="8">
        <v>1.52</v>
      </c>
      <c r="E443" s="4">
        <v>22</v>
      </c>
      <c r="F443" s="8">
        <v>1.1399999999999999</v>
      </c>
      <c r="G443" s="4">
        <v>22</v>
      </c>
      <c r="H443" s="8">
        <v>2.42</v>
      </c>
      <c r="I443" s="4">
        <v>0</v>
      </c>
    </row>
    <row r="444" spans="1:9" x14ac:dyDescent="0.2">
      <c r="A444" s="1"/>
      <c r="C444" s="4"/>
      <c r="D444" s="8"/>
      <c r="E444" s="4"/>
      <c r="F444" s="8"/>
      <c r="G444" s="4"/>
      <c r="H444" s="8"/>
      <c r="I444" s="4"/>
    </row>
    <row r="445" spans="1:9" x14ac:dyDescent="0.2">
      <c r="A445" s="1" t="s">
        <v>20</v>
      </c>
      <c r="C445" s="4"/>
      <c r="D445" s="8"/>
      <c r="E445" s="4"/>
      <c r="F445" s="8"/>
      <c r="G445" s="4"/>
      <c r="H445" s="8"/>
      <c r="I445" s="4"/>
    </row>
    <row r="446" spans="1:9" x14ac:dyDescent="0.2">
      <c r="A446" s="2">
        <v>1</v>
      </c>
      <c r="B446" s="1" t="s">
        <v>138</v>
      </c>
      <c r="C446" s="4">
        <v>296</v>
      </c>
      <c r="D446" s="8">
        <v>6.43</v>
      </c>
      <c r="E446" s="4">
        <v>273</v>
      </c>
      <c r="F446" s="8">
        <v>10.79</v>
      </c>
      <c r="G446" s="4">
        <v>23</v>
      </c>
      <c r="H446" s="8">
        <v>1.1299999999999999</v>
      </c>
      <c r="I446" s="4">
        <v>0</v>
      </c>
    </row>
    <row r="447" spans="1:9" x14ac:dyDescent="0.2">
      <c r="A447" s="2">
        <v>2</v>
      </c>
      <c r="B447" s="1" t="s">
        <v>132</v>
      </c>
      <c r="C447" s="4">
        <v>180</v>
      </c>
      <c r="D447" s="8">
        <v>3.91</v>
      </c>
      <c r="E447" s="4">
        <v>103</v>
      </c>
      <c r="F447" s="8">
        <v>4.07</v>
      </c>
      <c r="G447" s="4">
        <v>77</v>
      </c>
      <c r="H447" s="8">
        <v>3.79</v>
      </c>
      <c r="I447" s="4">
        <v>0</v>
      </c>
    </row>
    <row r="448" spans="1:9" x14ac:dyDescent="0.2">
      <c r="A448" s="2">
        <v>3</v>
      </c>
      <c r="B448" s="1" t="s">
        <v>136</v>
      </c>
      <c r="C448" s="4">
        <v>154</v>
      </c>
      <c r="D448" s="8">
        <v>3.34</v>
      </c>
      <c r="E448" s="4">
        <v>147</v>
      </c>
      <c r="F448" s="8">
        <v>5.81</v>
      </c>
      <c r="G448" s="4">
        <v>7</v>
      </c>
      <c r="H448" s="8">
        <v>0.34</v>
      </c>
      <c r="I448" s="4">
        <v>0</v>
      </c>
    </row>
    <row r="449" spans="1:9" x14ac:dyDescent="0.2">
      <c r="A449" s="2">
        <v>4</v>
      </c>
      <c r="B449" s="1" t="s">
        <v>140</v>
      </c>
      <c r="C449" s="4">
        <v>142</v>
      </c>
      <c r="D449" s="8">
        <v>3.08</v>
      </c>
      <c r="E449" s="4">
        <v>120</v>
      </c>
      <c r="F449" s="8">
        <v>4.74</v>
      </c>
      <c r="G449" s="4">
        <v>22</v>
      </c>
      <c r="H449" s="8">
        <v>1.08</v>
      </c>
      <c r="I449" s="4">
        <v>0</v>
      </c>
    </row>
    <row r="450" spans="1:9" x14ac:dyDescent="0.2">
      <c r="A450" s="2">
        <v>5</v>
      </c>
      <c r="B450" s="1" t="s">
        <v>137</v>
      </c>
      <c r="C450" s="4">
        <v>130</v>
      </c>
      <c r="D450" s="8">
        <v>2.82</v>
      </c>
      <c r="E450" s="4">
        <v>125</v>
      </c>
      <c r="F450" s="8">
        <v>4.9400000000000004</v>
      </c>
      <c r="G450" s="4">
        <v>5</v>
      </c>
      <c r="H450" s="8">
        <v>0.25</v>
      </c>
      <c r="I450" s="4">
        <v>0</v>
      </c>
    </row>
    <row r="451" spans="1:9" x14ac:dyDescent="0.2">
      <c r="A451" s="2">
        <v>6</v>
      </c>
      <c r="B451" s="1" t="s">
        <v>141</v>
      </c>
      <c r="C451" s="4">
        <v>121</v>
      </c>
      <c r="D451" s="8">
        <v>2.63</v>
      </c>
      <c r="E451" s="4">
        <v>111</v>
      </c>
      <c r="F451" s="8">
        <v>4.3899999999999997</v>
      </c>
      <c r="G451" s="4">
        <v>10</v>
      </c>
      <c r="H451" s="8">
        <v>0.49</v>
      </c>
      <c r="I451" s="4">
        <v>0</v>
      </c>
    </row>
    <row r="452" spans="1:9" x14ac:dyDescent="0.2">
      <c r="A452" s="2">
        <v>7</v>
      </c>
      <c r="B452" s="1" t="s">
        <v>134</v>
      </c>
      <c r="C452" s="4">
        <v>109</v>
      </c>
      <c r="D452" s="8">
        <v>2.37</v>
      </c>
      <c r="E452" s="4">
        <v>101</v>
      </c>
      <c r="F452" s="8">
        <v>3.99</v>
      </c>
      <c r="G452" s="4">
        <v>8</v>
      </c>
      <c r="H452" s="8">
        <v>0.39</v>
      </c>
      <c r="I452" s="4">
        <v>0</v>
      </c>
    </row>
    <row r="453" spans="1:9" x14ac:dyDescent="0.2">
      <c r="A453" s="2">
        <v>8</v>
      </c>
      <c r="B453" s="1" t="s">
        <v>122</v>
      </c>
      <c r="C453" s="4">
        <v>104</v>
      </c>
      <c r="D453" s="8">
        <v>2.2599999999999998</v>
      </c>
      <c r="E453" s="4">
        <v>17</v>
      </c>
      <c r="F453" s="8">
        <v>0.67</v>
      </c>
      <c r="G453" s="4">
        <v>87</v>
      </c>
      <c r="H453" s="8">
        <v>4.28</v>
      </c>
      <c r="I453" s="4">
        <v>0</v>
      </c>
    </row>
    <row r="454" spans="1:9" x14ac:dyDescent="0.2">
      <c r="A454" s="2">
        <v>9</v>
      </c>
      <c r="B454" s="1" t="s">
        <v>133</v>
      </c>
      <c r="C454" s="4">
        <v>93</v>
      </c>
      <c r="D454" s="8">
        <v>2.02</v>
      </c>
      <c r="E454" s="4">
        <v>81</v>
      </c>
      <c r="F454" s="8">
        <v>3.2</v>
      </c>
      <c r="G454" s="4">
        <v>12</v>
      </c>
      <c r="H454" s="8">
        <v>0.59</v>
      </c>
      <c r="I454" s="4">
        <v>0</v>
      </c>
    </row>
    <row r="455" spans="1:9" x14ac:dyDescent="0.2">
      <c r="A455" s="2">
        <v>10</v>
      </c>
      <c r="B455" s="1" t="s">
        <v>127</v>
      </c>
      <c r="C455" s="4">
        <v>91</v>
      </c>
      <c r="D455" s="8">
        <v>1.98</v>
      </c>
      <c r="E455" s="4">
        <v>65</v>
      </c>
      <c r="F455" s="8">
        <v>2.57</v>
      </c>
      <c r="G455" s="4">
        <v>26</v>
      </c>
      <c r="H455" s="8">
        <v>1.28</v>
      </c>
      <c r="I455" s="4">
        <v>0</v>
      </c>
    </row>
    <row r="456" spans="1:9" x14ac:dyDescent="0.2">
      <c r="A456" s="2">
        <v>11</v>
      </c>
      <c r="B456" s="1" t="s">
        <v>159</v>
      </c>
      <c r="C456" s="4">
        <v>89</v>
      </c>
      <c r="D456" s="8">
        <v>1.93</v>
      </c>
      <c r="E456" s="4">
        <v>30</v>
      </c>
      <c r="F456" s="8">
        <v>1.19</v>
      </c>
      <c r="G456" s="4">
        <v>59</v>
      </c>
      <c r="H456" s="8">
        <v>2.9</v>
      </c>
      <c r="I456" s="4">
        <v>0</v>
      </c>
    </row>
    <row r="457" spans="1:9" x14ac:dyDescent="0.2">
      <c r="A457" s="2">
        <v>12</v>
      </c>
      <c r="B457" s="1" t="s">
        <v>135</v>
      </c>
      <c r="C457" s="4">
        <v>86</v>
      </c>
      <c r="D457" s="8">
        <v>1.87</v>
      </c>
      <c r="E457" s="4">
        <v>84</v>
      </c>
      <c r="F457" s="8">
        <v>3.32</v>
      </c>
      <c r="G457" s="4">
        <v>2</v>
      </c>
      <c r="H457" s="8">
        <v>0.1</v>
      </c>
      <c r="I457" s="4">
        <v>0</v>
      </c>
    </row>
    <row r="458" spans="1:9" x14ac:dyDescent="0.2">
      <c r="A458" s="2">
        <v>13</v>
      </c>
      <c r="B458" s="1" t="s">
        <v>139</v>
      </c>
      <c r="C458" s="4">
        <v>81</v>
      </c>
      <c r="D458" s="8">
        <v>1.76</v>
      </c>
      <c r="E458" s="4">
        <v>62</v>
      </c>
      <c r="F458" s="8">
        <v>2.4500000000000002</v>
      </c>
      <c r="G458" s="4">
        <v>19</v>
      </c>
      <c r="H458" s="8">
        <v>0.93</v>
      </c>
      <c r="I458" s="4">
        <v>0</v>
      </c>
    </row>
    <row r="459" spans="1:9" x14ac:dyDescent="0.2">
      <c r="A459" s="2">
        <v>14</v>
      </c>
      <c r="B459" s="1" t="s">
        <v>124</v>
      </c>
      <c r="C459" s="4">
        <v>78</v>
      </c>
      <c r="D459" s="8">
        <v>1.69</v>
      </c>
      <c r="E459" s="4">
        <v>19</v>
      </c>
      <c r="F459" s="8">
        <v>0.75</v>
      </c>
      <c r="G459" s="4">
        <v>59</v>
      </c>
      <c r="H459" s="8">
        <v>2.9</v>
      </c>
      <c r="I459" s="4">
        <v>0</v>
      </c>
    </row>
    <row r="460" spans="1:9" x14ac:dyDescent="0.2">
      <c r="A460" s="2">
        <v>14</v>
      </c>
      <c r="B460" s="1" t="s">
        <v>129</v>
      </c>
      <c r="C460" s="4">
        <v>78</v>
      </c>
      <c r="D460" s="8">
        <v>1.69</v>
      </c>
      <c r="E460" s="4">
        <v>46</v>
      </c>
      <c r="F460" s="8">
        <v>1.82</v>
      </c>
      <c r="G460" s="4">
        <v>32</v>
      </c>
      <c r="H460" s="8">
        <v>1.57</v>
      </c>
      <c r="I460" s="4">
        <v>0</v>
      </c>
    </row>
    <row r="461" spans="1:9" x14ac:dyDescent="0.2">
      <c r="A461" s="2">
        <v>14</v>
      </c>
      <c r="B461" s="1" t="s">
        <v>130</v>
      </c>
      <c r="C461" s="4">
        <v>78</v>
      </c>
      <c r="D461" s="8">
        <v>1.69</v>
      </c>
      <c r="E461" s="4">
        <v>18</v>
      </c>
      <c r="F461" s="8">
        <v>0.71</v>
      </c>
      <c r="G461" s="4">
        <v>60</v>
      </c>
      <c r="H461" s="8">
        <v>2.95</v>
      </c>
      <c r="I461" s="4">
        <v>0</v>
      </c>
    </row>
    <row r="462" spans="1:9" x14ac:dyDescent="0.2">
      <c r="A462" s="2">
        <v>17</v>
      </c>
      <c r="B462" s="1" t="s">
        <v>142</v>
      </c>
      <c r="C462" s="4">
        <v>74</v>
      </c>
      <c r="D462" s="8">
        <v>1.61</v>
      </c>
      <c r="E462" s="4">
        <v>65</v>
      </c>
      <c r="F462" s="8">
        <v>2.57</v>
      </c>
      <c r="G462" s="4">
        <v>9</v>
      </c>
      <c r="H462" s="8">
        <v>0.44</v>
      </c>
      <c r="I462" s="4">
        <v>0</v>
      </c>
    </row>
    <row r="463" spans="1:9" x14ac:dyDescent="0.2">
      <c r="A463" s="2">
        <v>18</v>
      </c>
      <c r="B463" s="1" t="s">
        <v>131</v>
      </c>
      <c r="C463" s="4">
        <v>65</v>
      </c>
      <c r="D463" s="8">
        <v>1.41</v>
      </c>
      <c r="E463" s="4">
        <v>15</v>
      </c>
      <c r="F463" s="8">
        <v>0.59</v>
      </c>
      <c r="G463" s="4">
        <v>50</v>
      </c>
      <c r="H463" s="8">
        <v>2.46</v>
      </c>
      <c r="I463" s="4">
        <v>0</v>
      </c>
    </row>
    <row r="464" spans="1:9" x14ac:dyDescent="0.2">
      <c r="A464" s="2">
        <v>19</v>
      </c>
      <c r="B464" s="1" t="s">
        <v>123</v>
      </c>
      <c r="C464" s="4">
        <v>64</v>
      </c>
      <c r="D464" s="8">
        <v>1.39</v>
      </c>
      <c r="E464" s="4">
        <v>19</v>
      </c>
      <c r="F464" s="8">
        <v>0.75</v>
      </c>
      <c r="G464" s="4">
        <v>45</v>
      </c>
      <c r="H464" s="8">
        <v>2.21</v>
      </c>
      <c r="I464" s="4">
        <v>0</v>
      </c>
    </row>
    <row r="465" spans="1:9" x14ac:dyDescent="0.2">
      <c r="A465" s="2">
        <v>20</v>
      </c>
      <c r="B465" s="1" t="s">
        <v>169</v>
      </c>
      <c r="C465" s="4">
        <v>62</v>
      </c>
      <c r="D465" s="8">
        <v>1.35</v>
      </c>
      <c r="E465" s="4">
        <v>17</v>
      </c>
      <c r="F465" s="8">
        <v>0.67</v>
      </c>
      <c r="G465" s="4">
        <v>45</v>
      </c>
      <c r="H465" s="8">
        <v>2.21</v>
      </c>
      <c r="I465" s="4">
        <v>0</v>
      </c>
    </row>
    <row r="466" spans="1:9" x14ac:dyDescent="0.2">
      <c r="A466" s="1"/>
      <c r="C466" s="4"/>
      <c r="D466" s="8"/>
      <c r="E466" s="4"/>
      <c r="F466" s="8"/>
      <c r="G466" s="4"/>
      <c r="H466" s="8"/>
      <c r="I466" s="4"/>
    </row>
    <row r="467" spans="1:9" x14ac:dyDescent="0.2">
      <c r="A467" s="1" t="s">
        <v>21</v>
      </c>
      <c r="C467" s="4"/>
      <c r="D467" s="8"/>
      <c r="E467" s="4"/>
      <c r="F467" s="8"/>
      <c r="G467" s="4"/>
      <c r="H467" s="8"/>
      <c r="I467" s="4"/>
    </row>
    <row r="468" spans="1:9" x14ac:dyDescent="0.2">
      <c r="A468" s="2">
        <v>1</v>
      </c>
      <c r="B468" s="1" t="s">
        <v>138</v>
      </c>
      <c r="C468" s="4">
        <v>60</v>
      </c>
      <c r="D468" s="8">
        <v>6.07</v>
      </c>
      <c r="E468" s="4">
        <v>53</v>
      </c>
      <c r="F468" s="8">
        <v>9.3000000000000007</v>
      </c>
      <c r="G468" s="4">
        <v>7</v>
      </c>
      <c r="H468" s="8">
        <v>1.75</v>
      </c>
      <c r="I468" s="4">
        <v>0</v>
      </c>
    </row>
    <row r="469" spans="1:9" x14ac:dyDescent="0.2">
      <c r="A469" s="2">
        <v>2</v>
      </c>
      <c r="B469" s="1" t="s">
        <v>137</v>
      </c>
      <c r="C469" s="4">
        <v>37</v>
      </c>
      <c r="D469" s="8">
        <v>3.74</v>
      </c>
      <c r="E469" s="4">
        <v>35</v>
      </c>
      <c r="F469" s="8">
        <v>6.14</v>
      </c>
      <c r="G469" s="4">
        <v>2</v>
      </c>
      <c r="H469" s="8">
        <v>0.5</v>
      </c>
      <c r="I469" s="4">
        <v>0</v>
      </c>
    </row>
    <row r="470" spans="1:9" x14ac:dyDescent="0.2">
      <c r="A470" s="2">
        <v>3</v>
      </c>
      <c r="B470" s="1" t="s">
        <v>132</v>
      </c>
      <c r="C470" s="4">
        <v>32</v>
      </c>
      <c r="D470" s="8">
        <v>3.24</v>
      </c>
      <c r="E470" s="4">
        <v>17</v>
      </c>
      <c r="F470" s="8">
        <v>2.98</v>
      </c>
      <c r="G470" s="4">
        <v>14</v>
      </c>
      <c r="H470" s="8">
        <v>3.5</v>
      </c>
      <c r="I470" s="4">
        <v>0</v>
      </c>
    </row>
    <row r="471" spans="1:9" x14ac:dyDescent="0.2">
      <c r="A471" s="2">
        <v>4</v>
      </c>
      <c r="B471" s="1" t="s">
        <v>133</v>
      </c>
      <c r="C471" s="4">
        <v>29</v>
      </c>
      <c r="D471" s="8">
        <v>2.93</v>
      </c>
      <c r="E471" s="4">
        <v>22</v>
      </c>
      <c r="F471" s="8">
        <v>3.86</v>
      </c>
      <c r="G471" s="4">
        <v>7</v>
      </c>
      <c r="H471" s="8">
        <v>1.75</v>
      </c>
      <c r="I471" s="4">
        <v>0</v>
      </c>
    </row>
    <row r="472" spans="1:9" x14ac:dyDescent="0.2">
      <c r="A472" s="2">
        <v>4</v>
      </c>
      <c r="B472" s="1" t="s">
        <v>136</v>
      </c>
      <c r="C472" s="4">
        <v>29</v>
      </c>
      <c r="D472" s="8">
        <v>2.93</v>
      </c>
      <c r="E472" s="4">
        <v>28</v>
      </c>
      <c r="F472" s="8">
        <v>4.91</v>
      </c>
      <c r="G472" s="4">
        <v>1</v>
      </c>
      <c r="H472" s="8">
        <v>0.25</v>
      </c>
      <c r="I472" s="4">
        <v>0</v>
      </c>
    </row>
    <row r="473" spans="1:9" x14ac:dyDescent="0.2">
      <c r="A473" s="2">
        <v>6</v>
      </c>
      <c r="B473" s="1" t="s">
        <v>127</v>
      </c>
      <c r="C473" s="4">
        <v>25</v>
      </c>
      <c r="D473" s="8">
        <v>2.5299999999999998</v>
      </c>
      <c r="E473" s="4">
        <v>17</v>
      </c>
      <c r="F473" s="8">
        <v>2.98</v>
      </c>
      <c r="G473" s="4">
        <v>8</v>
      </c>
      <c r="H473" s="8">
        <v>2</v>
      </c>
      <c r="I473" s="4">
        <v>0</v>
      </c>
    </row>
    <row r="474" spans="1:9" x14ac:dyDescent="0.2">
      <c r="A474" s="2">
        <v>6</v>
      </c>
      <c r="B474" s="1" t="s">
        <v>135</v>
      </c>
      <c r="C474" s="4">
        <v>25</v>
      </c>
      <c r="D474" s="8">
        <v>2.5299999999999998</v>
      </c>
      <c r="E474" s="4">
        <v>25</v>
      </c>
      <c r="F474" s="8">
        <v>4.3899999999999997</v>
      </c>
      <c r="G474" s="4">
        <v>0</v>
      </c>
      <c r="H474" s="8">
        <v>0</v>
      </c>
      <c r="I474" s="4">
        <v>0</v>
      </c>
    </row>
    <row r="475" spans="1:9" x14ac:dyDescent="0.2">
      <c r="A475" s="2">
        <v>6</v>
      </c>
      <c r="B475" s="1" t="s">
        <v>141</v>
      </c>
      <c r="C475" s="4">
        <v>25</v>
      </c>
      <c r="D475" s="8">
        <v>2.5299999999999998</v>
      </c>
      <c r="E475" s="4">
        <v>21</v>
      </c>
      <c r="F475" s="8">
        <v>3.68</v>
      </c>
      <c r="G475" s="4">
        <v>4</v>
      </c>
      <c r="H475" s="8">
        <v>1</v>
      </c>
      <c r="I475" s="4">
        <v>0</v>
      </c>
    </row>
    <row r="476" spans="1:9" x14ac:dyDescent="0.2">
      <c r="A476" s="2">
        <v>9</v>
      </c>
      <c r="B476" s="1" t="s">
        <v>122</v>
      </c>
      <c r="C476" s="4">
        <v>23</v>
      </c>
      <c r="D476" s="8">
        <v>2.33</v>
      </c>
      <c r="E476" s="4">
        <v>3</v>
      </c>
      <c r="F476" s="8">
        <v>0.53</v>
      </c>
      <c r="G476" s="4">
        <v>20</v>
      </c>
      <c r="H476" s="8">
        <v>5</v>
      </c>
      <c r="I476" s="4">
        <v>0</v>
      </c>
    </row>
    <row r="477" spans="1:9" x14ac:dyDescent="0.2">
      <c r="A477" s="2">
        <v>10</v>
      </c>
      <c r="B477" s="1" t="s">
        <v>139</v>
      </c>
      <c r="C477" s="4">
        <v>21</v>
      </c>
      <c r="D477" s="8">
        <v>2.12</v>
      </c>
      <c r="E477" s="4">
        <v>18</v>
      </c>
      <c r="F477" s="8">
        <v>3.16</v>
      </c>
      <c r="G477" s="4">
        <v>3</v>
      </c>
      <c r="H477" s="8">
        <v>0.75</v>
      </c>
      <c r="I477" s="4">
        <v>0</v>
      </c>
    </row>
    <row r="478" spans="1:9" x14ac:dyDescent="0.2">
      <c r="A478" s="2">
        <v>11</v>
      </c>
      <c r="B478" s="1" t="s">
        <v>124</v>
      </c>
      <c r="C478" s="4">
        <v>20</v>
      </c>
      <c r="D478" s="8">
        <v>2.02</v>
      </c>
      <c r="E478" s="4">
        <v>8</v>
      </c>
      <c r="F478" s="8">
        <v>1.4</v>
      </c>
      <c r="G478" s="4">
        <v>12</v>
      </c>
      <c r="H478" s="8">
        <v>3</v>
      </c>
      <c r="I478" s="4">
        <v>0</v>
      </c>
    </row>
    <row r="479" spans="1:9" x14ac:dyDescent="0.2">
      <c r="A479" s="2">
        <v>11</v>
      </c>
      <c r="B479" s="1" t="s">
        <v>129</v>
      </c>
      <c r="C479" s="4">
        <v>20</v>
      </c>
      <c r="D479" s="8">
        <v>2.02</v>
      </c>
      <c r="E479" s="4">
        <v>15</v>
      </c>
      <c r="F479" s="8">
        <v>2.63</v>
      </c>
      <c r="G479" s="4">
        <v>5</v>
      </c>
      <c r="H479" s="8">
        <v>1.25</v>
      </c>
      <c r="I479" s="4">
        <v>0</v>
      </c>
    </row>
    <row r="480" spans="1:9" x14ac:dyDescent="0.2">
      <c r="A480" s="2">
        <v>13</v>
      </c>
      <c r="B480" s="1" t="s">
        <v>172</v>
      </c>
      <c r="C480" s="4">
        <v>19</v>
      </c>
      <c r="D480" s="8">
        <v>1.92</v>
      </c>
      <c r="E480" s="4">
        <v>4</v>
      </c>
      <c r="F480" s="8">
        <v>0.7</v>
      </c>
      <c r="G480" s="4">
        <v>15</v>
      </c>
      <c r="H480" s="8">
        <v>3.75</v>
      </c>
      <c r="I480" s="4">
        <v>0</v>
      </c>
    </row>
    <row r="481" spans="1:9" x14ac:dyDescent="0.2">
      <c r="A481" s="2">
        <v>13</v>
      </c>
      <c r="B481" s="1" t="s">
        <v>134</v>
      </c>
      <c r="C481" s="4">
        <v>19</v>
      </c>
      <c r="D481" s="8">
        <v>1.92</v>
      </c>
      <c r="E481" s="4">
        <v>19</v>
      </c>
      <c r="F481" s="8">
        <v>3.33</v>
      </c>
      <c r="G481" s="4">
        <v>0</v>
      </c>
      <c r="H481" s="8">
        <v>0</v>
      </c>
      <c r="I481" s="4">
        <v>0</v>
      </c>
    </row>
    <row r="482" spans="1:9" x14ac:dyDescent="0.2">
      <c r="A482" s="2">
        <v>13</v>
      </c>
      <c r="B482" s="1" t="s">
        <v>140</v>
      </c>
      <c r="C482" s="4">
        <v>19</v>
      </c>
      <c r="D482" s="8">
        <v>1.92</v>
      </c>
      <c r="E482" s="4">
        <v>14</v>
      </c>
      <c r="F482" s="8">
        <v>2.46</v>
      </c>
      <c r="G482" s="4">
        <v>5</v>
      </c>
      <c r="H482" s="8">
        <v>1.25</v>
      </c>
      <c r="I482" s="4">
        <v>0</v>
      </c>
    </row>
    <row r="483" spans="1:9" x14ac:dyDescent="0.2">
      <c r="A483" s="2">
        <v>16</v>
      </c>
      <c r="B483" s="1" t="s">
        <v>125</v>
      </c>
      <c r="C483" s="4">
        <v>17</v>
      </c>
      <c r="D483" s="8">
        <v>1.72</v>
      </c>
      <c r="E483" s="4">
        <v>7</v>
      </c>
      <c r="F483" s="8">
        <v>1.23</v>
      </c>
      <c r="G483" s="4">
        <v>10</v>
      </c>
      <c r="H483" s="8">
        <v>2.5</v>
      </c>
      <c r="I483" s="4">
        <v>0</v>
      </c>
    </row>
    <row r="484" spans="1:9" x14ac:dyDescent="0.2">
      <c r="A484" s="2">
        <v>16</v>
      </c>
      <c r="B484" s="1" t="s">
        <v>151</v>
      </c>
      <c r="C484" s="4">
        <v>17</v>
      </c>
      <c r="D484" s="8">
        <v>1.72</v>
      </c>
      <c r="E484" s="4">
        <v>10</v>
      </c>
      <c r="F484" s="8">
        <v>1.75</v>
      </c>
      <c r="G484" s="4">
        <v>7</v>
      </c>
      <c r="H484" s="8">
        <v>1.75</v>
      </c>
      <c r="I484" s="4">
        <v>0</v>
      </c>
    </row>
    <row r="485" spans="1:9" x14ac:dyDescent="0.2">
      <c r="A485" s="2">
        <v>16</v>
      </c>
      <c r="B485" s="1" t="s">
        <v>126</v>
      </c>
      <c r="C485" s="4">
        <v>17</v>
      </c>
      <c r="D485" s="8">
        <v>1.72</v>
      </c>
      <c r="E485" s="4">
        <v>15</v>
      </c>
      <c r="F485" s="8">
        <v>2.63</v>
      </c>
      <c r="G485" s="4">
        <v>2</v>
      </c>
      <c r="H485" s="8">
        <v>0.5</v>
      </c>
      <c r="I485" s="4">
        <v>0</v>
      </c>
    </row>
    <row r="486" spans="1:9" x14ac:dyDescent="0.2">
      <c r="A486" s="2">
        <v>19</v>
      </c>
      <c r="B486" s="1" t="s">
        <v>123</v>
      </c>
      <c r="C486" s="4">
        <v>16</v>
      </c>
      <c r="D486" s="8">
        <v>1.62</v>
      </c>
      <c r="E486" s="4">
        <v>5</v>
      </c>
      <c r="F486" s="8">
        <v>0.88</v>
      </c>
      <c r="G486" s="4">
        <v>11</v>
      </c>
      <c r="H486" s="8">
        <v>2.75</v>
      </c>
      <c r="I486" s="4">
        <v>0</v>
      </c>
    </row>
    <row r="487" spans="1:9" x14ac:dyDescent="0.2">
      <c r="A487" s="2">
        <v>20</v>
      </c>
      <c r="B487" s="1" t="s">
        <v>169</v>
      </c>
      <c r="C487" s="4">
        <v>15</v>
      </c>
      <c r="D487" s="8">
        <v>1.52</v>
      </c>
      <c r="E487" s="4">
        <v>6</v>
      </c>
      <c r="F487" s="8">
        <v>1.05</v>
      </c>
      <c r="G487" s="4">
        <v>9</v>
      </c>
      <c r="H487" s="8">
        <v>2.25</v>
      </c>
      <c r="I487" s="4">
        <v>0</v>
      </c>
    </row>
    <row r="488" spans="1:9" x14ac:dyDescent="0.2">
      <c r="A488" s="2">
        <v>20</v>
      </c>
      <c r="B488" s="1" t="s">
        <v>128</v>
      </c>
      <c r="C488" s="4">
        <v>15</v>
      </c>
      <c r="D488" s="8">
        <v>1.52</v>
      </c>
      <c r="E488" s="4">
        <v>8</v>
      </c>
      <c r="F488" s="8">
        <v>1.4</v>
      </c>
      <c r="G488" s="4">
        <v>7</v>
      </c>
      <c r="H488" s="8">
        <v>1.75</v>
      </c>
      <c r="I488" s="4">
        <v>0</v>
      </c>
    </row>
    <row r="489" spans="1:9" x14ac:dyDescent="0.2">
      <c r="A489" s="1"/>
      <c r="C489" s="4"/>
      <c r="D489" s="8"/>
      <c r="E489" s="4"/>
      <c r="F489" s="8"/>
      <c r="G489" s="4"/>
      <c r="H489" s="8"/>
      <c r="I489" s="4"/>
    </row>
    <row r="490" spans="1:9" x14ac:dyDescent="0.2">
      <c r="A490" s="1" t="s">
        <v>22</v>
      </c>
      <c r="C490" s="4"/>
      <c r="D490" s="8"/>
      <c r="E490" s="4"/>
      <c r="F490" s="8"/>
      <c r="G490" s="4"/>
      <c r="H490" s="8"/>
      <c r="I490" s="4"/>
    </row>
    <row r="491" spans="1:9" x14ac:dyDescent="0.2">
      <c r="A491" s="2">
        <v>1</v>
      </c>
      <c r="B491" s="1" t="s">
        <v>138</v>
      </c>
      <c r="C491" s="4">
        <v>57</v>
      </c>
      <c r="D491" s="8">
        <v>4.29</v>
      </c>
      <c r="E491" s="4">
        <v>48</v>
      </c>
      <c r="F491" s="8">
        <v>6.09</v>
      </c>
      <c r="G491" s="4">
        <v>9</v>
      </c>
      <c r="H491" s="8">
        <v>1.7</v>
      </c>
      <c r="I491" s="4">
        <v>0</v>
      </c>
    </row>
    <row r="492" spans="1:9" x14ac:dyDescent="0.2">
      <c r="A492" s="2">
        <v>2</v>
      </c>
      <c r="B492" s="1" t="s">
        <v>173</v>
      </c>
      <c r="C492" s="4">
        <v>56</v>
      </c>
      <c r="D492" s="8">
        <v>4.21</v>
      </c>
      <c r="E492" s="4">
        <v>24</v>
      </c>
      <c r="F492" s="8">
        <v>3.05</v>
      </c>
      <c r="G492" s="4">
        <v>32</v>
      </c>
      <c r="H492" s="8">
        <v>6.05</v>
      </c>
      <c r="I492" s="4">
        <v>0</v>
      </c>
    </row>
    <row r="493" spans="1:9" x14ac:dyDescent="0.2">
      <c r="A493" s="2">
        <v>3</v>
      </c>
      <c r="B493" s="1" t="s">
        <v>137</v>
      </c>
      <c r="C493" s="4">
        <v>42</v>
      </c>
      <c r="D493" s="8">
        <v>3.16</v>
      </c>
      <c r="E493" s="4">
        <v>42</v>
      </c>
      <c r="F493" s="8">
        <v>5.33</v>
      </c>
      <c r="G493" s="4">
        <v>0</v>
      </c>
      <c r="H493" s="8">
        <v>0</v>
      </c>
      <c r="I493" s="4">
        <v>0</v>
      </c>
    </row>
    <row r="494" spans="1:9" x14ac:dyDescent="0.2">
      <c r="A494" s="2">
        <v>4</v>
      </c>
      <c r="B494" s="1" t="s">
        <v>175</v>
      </c>
      <c r="C494" s="4">
        <v>40</v>
      </c>
      <c r="D494" s="8">
        <v>3.01</v>
      </c>
      <c r="E494" s="4">
        <v>25</v>
      </c>
      <c r="F494" s="8">
        <v>3.17</v>
      </c>
      <c r="G494" s="4">
        <v>15</v>
      </c>
      <c r="H494" s="8">
        <v>2.84</v>
      </c>
      <c r="I494" s="4">
        <v>0</v>
      </c>
    </row>
    <row r="495" spans="1:9" x14ac:dyDescent="0.2">
      <c r="A495" s="2">
        <v>5</v>
      </c>
      <c r="B495" s="1" t="s">
        <v>133</v>
      </c>
      <c r="C495" s="4">
        <v>36</v>
      </c>
      <c r="D495" s="8">
        <v>2.71</v>
      </c>
      <c r="E495" s="4">
        <v>30</v>
      </c>
      <c r="F495" s="8">
        <v>3.81</v>
      </c>
      <c r="G495" s="4">
        <v>6</v>
      </c>
      <c r="H495" s="8">
        <v>1.1299999999999999</v>
      </c>
      <c r="I495" s="4">
        <v>0</v>
      </c>
    </row>
    <row r="496" spans="1:9" x14ac:dyDescent="0.2">
      <c r="A496" s="2">
        <v>6</v>
      </c>
      <c r="B496" s="1" t="s">
        <v>127</v>
      </c>
      <c r="C496" s="4">
        <v>32</v>
      </c>
      <c r="D496" s="8">
        <v>2.41</v>
      </c>
      <c r="E496" s="4">
        <v>19</v>
      </c>
      <c r="F496" s="8">
        <v>2.41</v>
      </c>
      <c r="G496" s="4">
        <v>13</v>
      </c>
      <c r="H496" s="8">
        <v>2.46</v>
      </c>
      <c r="I496" s="4">
        <v>0</v>
      </c>
    </row>
    <row r="497" spans="1:9" x14ac:dyDescent="0.2">
      <c r="A497" s="2">
        <v>7</v>
      </c>
      <c r="B497" s="1" t="s">
        <v>123</v>
      </c>
      <c r="C497" s="4">
        <v>28</v>
      </c>
      <c r="D497" s="8">
        <v>2.11</v>
      </c>
      <c r="E497" s="4">
        <v>12</v>
      </c>
      <c r="F497" s="8">
        <v>1.52</v>
      </c>
      <c r="G497" s="4">
        <v>16</v>
      </c>
      <c r="H497" s="8">
        <v>3.02</v>
      </c>
      <c r="I497" s="4">
        <v>0</v>
      </c>
    </row>
    <row r="498" spans="1:9" x14ac:dyDescent="0.2">
      <c r="A498" s="2">
        <v>8</v>
      </c>
      <c r="B498" s="1" t="s">
        <v>122</v>
      </c>
      <c r="C498" s="4">
        <v>27</v>
      </c>
      <c r="D498" s="8">
        <v>2.0299999999999998</v>
      </c>
      <c r="E498" s="4">
        <v>6</v>
      </c>
      <c r="F498" s="8">
        <v>0.76</v>
      </c>
      <c r="G498" s="4">
        <v>21</v>
      </c>
      <c r="H498" s="8">
        <v>3.97</v>
      </c>
      <c r="I498" s="4">
        <v>0</v>
      </c>
    </row>
    <row r="499" spans="1:9" x14ac:dyDescent="0.2">
      <c r="A499" s="2">
        <v>8</v>
      </c>
      <c r="B499" s="1" t="s">
        <v>174</v>
      </c>
      <c r="C499" s="4">
        <v>27</v>
      </c>
      <c r="D499" s="8">
        <v>2.0299999999999998</v>
      </c>
      <c r="E499" s="4">
        <v>25</v>
      </c>
      <c r="F499" s="8">
        <v>3.17</v>
      </c>
      <c r="G499" s="4">
        <v>2</v>
      </c>
      <c r="H499" s="8">
        <v>0.38</v>
      </c>
      <c r="I499" s="4">
        <v>0</v>
      </c>
    </row>
    <row r="500" spans="1:9" x14ac:dyDescent="0.2">
      <c r="A500" s="2">
        <v>10</v>
      </c>
      <c r="B500" s="1" t="s">
        <v>129</v>
      </c>
      <c r="C500" s="4">
        <v>24</v>
      </c>
      <c r="D500" s="8">
        <v>1.81</v>
      </c>
      <c r="E500" s="4">
        <v>17</v>
      </c>
      <c r="F500" s="8">
        <v>2.16</v>
      </c>
      <c r="G500" s="4">
        <v>7</v>
      </c>
      <c r="H500" s="8">
        <v>1.32</v>
      </c>
      <c r="I500" s="4">
        <v>0</v>
      </c>
    </row>
    <row r="501" spans="1:9" x14ac:dyDescent="0.2">
      <c r="A501" s="2">
        <v>11</v>
      </c>
      <c r="B501" s="1" t="s">
        <v>134</v>
      </c>
      <c r="C501" s="4">
        <v>23</v>
      </c>
      <c r="D501" s="8">
        <v>1.73</v>
      </c>
      <c r="E501" s="4">
        <v>22</v>
      </c>
      <c r="F501" s="8">
        <v>2.79</v>
      </c>
      <c r="G501" s="4">
        <v>1</v>
      </c>
      <c r="H501" s="8">
        <v>0.19</v>
      </c>
      <c r="I501" s="4">
        <v>0</v>
      </c>
    </row>
    <row r="502" spans="1:9" x14ac:dyDescent="0.2">
      <c r="A502" s="2">
        <v>12</v>
      </c>
      <c r="B502" s="1" t="s">
        <v>124</v>
      </c>
      <c r="C502" s="4">
        <v>22</v>
      </c>
      <c r="D502" s="8">
        <v>1.66</v>
      </c>
      <c r="E502" s="4">
        <v>16</v>
      </c>
      <c r="F502" s="8">
        <v>2.0299999999999998</v>
      </c>
      <c r="G502" s="4">
        <v>6</v>
      </c>
      <c r="H502" s="8">
        <v>1.1299999999999999</v>
      </c>
      <c r="I502" s="4">
        <v>0</v>
      </c>
    </row>
    <row r="503" spans="1:9" x14ac:dyDescent="0.2">
      <c r="A503" s="2">
        <v>12</v>
      </c>
      <c r="B503" s="1" t="s">
        <v>176</v>
      </c>
      <c r="C503" s="4">
        <v>22</v>
      </c>
      <c r="D503" s="8">
        <v>1.66</v>
      </c>
      <c r="E503" s="4">
        <v>13</v>
      </c>
      <c r="F503" s="8">
        <v>1.65</v>
      </c>
      <c r="G503" s="4">
        <v>9</v>
      </c>
      <c r="H503" s="8">
        <v>1.7</v>
      </c>
      <c r="I503" s="4">
        <v>0</v>
      </c>
    </row>
    <row r="504" spans="1:9" x14ac:dyDescent="0.2">
      <c r="A504" s="2">
        <v>12</v>
      </c>
      <c r="B504" s="1" t="s">
        <v>165</v>
      </c>
      <c r="C504" s="4">
        <v>22</v>
      </c>
      <c r="D504" s="8">
        <v>1.66</v>
      </c>
      <c r="E504" s="4">
        <v>14</v>
      </c>
      <c r="F504" s="8">
        <v>1.78</v>
      </c>
      <c r="G504" s="4">
        <v>8</v>
      </c>
      <c r="H504" s="8">
        <v>1.51</v>
      </c>
      <c r="I504" s="4">
        <v>0</v>
      </c>
    </row>
    <row r="505" spans="1:9" x14ac:dyDescent="0.2">
      <c r="A505" s="2">
        <v>15</v>
      </c>
      <c r="B505" s="1" t="s">
        <v>132</v>
      </c>
      <c r="C505" s="4">
        <v>21</v>
      </c>
      <c r="D505" s="8">
        <v>1.58</v>
      </c>
      <c r="E505" s="4">
        <v>7</v>
      </c>
      <c r="F505" s="8">
        <v>0.89</v>
      </c>
      <c r="G505" s="4">
        <v>14</v>
      </c>
      <c r="H505" s="8">
        <v>2.65</v>
      </c>
      <c r="I505" s="4">
        <v>0</v>
      </c>
    </row>
    <row r="506" spans="1:9" x14ac:dyDescent="0.2">
      <c r="A506" s="2">
        <v>16</v>
      </c>
      <c r="B506" s="1" t="s">
        <v>136</v>
      </c>
      <c r="C506" s="4">
        <v>20</v>
      </c>
      <c r="D506" s="8">
        <v>1.5</v>
      </c>
      <c r="E506" s="4">
        <v>20</v>
      </c>
      <c r="F506" s="8">
        <v>2.54</v>
      </c>
      <c r="G506" s="4">
        <v>0</v>
      </c>
      <c r="H506" s="8">
        <v>0</v>
      </c>
      <c r="I506" s="4">
        <v>0</v>
      </c>
    </row>
    <row r="507" spans="1:9" x14ac:dyDescent="0.2">
      <c r="A507" s="2">
        <v>16</v>
      </c>
      <c r="B507" s="1" t="s">
        <v>141</v>
      </c>
      <c r="C507" s="4">
        <v>20</v>
      </c>
      <c r="D507" s="8">
        <v>1.5</v>
      </c>
      <c r="E507" s="4">
        <v>19</v>
      </c>
      <c r="F507" s="8">
        <v>2.41</v>
      </c>
      <c r="G507" s="4">
        <v>1</v>
      </c>
      <c r="H507" s="8">
        <v>0.19</v>
      </c>
      <c r="I507" s="4">
        <v>0</v>
      </c>
    </row>
    <row r="508" spans="1:9" x14ac:dyDescent="0.2">
      <c r="A508" s="2">
        <v>18</v>
      </c>
      <c r="B508" s="1" t="s">
        <v>140</v>
      </c>
      <c r="C508" s="4">
        <v>19</v>
      </c>
      <c r="D508" s="8">
        <v>1.43</v>
      </c>
      <c r="E508" s="4">
        <v>12</v>
      </c>
      <c r="F508" s="8">
        <v>1.52</v>
      </c>
      <c r="G508" s="4">
        <v>7</v>
      </c>
      <c r="H508" s="8">
        <v>1.32</v>
      </c>
      <c r="I508" s="4">
        <v>0</v>
      </c>
    </row>
    <row r="509" spans="1:9" x14ac:dyDescent="0.2">
      <c r="A509" s="2">
        <v>19</v>
      </c>
      <c r="B509" s="1" t="s">
        <v>126</v>
      </c>
      <c r="C509" s="4">
        <v>18</v>
      </c>
      <c r="D509" s="8">
        <v>1.35</v>
      </c>
      <c r="E509" s="4">
        <v>14</v>
      </c>
      <c r="F509" s="8">
        <v>1.78</v>
      </c>
      <c r="G509" s="4">
        <v>3</v>
      </c>
      <c r="H509" s="8">
        <v>0.56999999999999995</v>
      </c>
      <c r="I509" s="4">
        <v>1</v>
      </c>
    </row>
    <row r="510" spans="1:9" x14ac:dyDescent="0.2">
      <c r="A510" s="2">
        <v>19</v>
      </c>
      <c r="B510" s="1" t="s">
        <v>128</v>
      </c>
      <c r="C510" s="4">
        <v>18</v>
      </c>
      <c r="D510" s="8">
        <v>1.35</v>
      </c>
      <c r="E510" s="4">
        <v>10</v>
      </c>
      <c r="F510" s="8">
        <v>1.27</v>
      </c>
      <c r="G510" s="4">
        <v>8</v>
      </c>
      <c r="H510" s="8">
        <v>1.51</v>
      </c>
      <c r="I510" s="4">
        <v>0</v>
      </c>
    </row>
    <row r="511" spans="1:9" x14ac:dyDescent="0.2">
      <c r="A511" s="1"/>
      <c r="C511" s="4"/>
      <c r="D511" s="8"/>
      <c r="E511" s="4"/>
      <c r="F511" s="8"/>
      <c r="G511" s="4"/>
      <c r="H511" s="8"/>
      <c r="I511" s="4"/>
    </row>
    <row r="512" spans="1:9" x14ac:dyDescent="0.2">
      <c r="A512" s="1" t="s">
        <v>23</v>
      </c>
      <c r="C512" s="4"/>
      <c r="D512" s="8"/>
      <c r="E512" s="4"/>
      <c r="F512" s="8"/>
      <c r="G512" s="4"/>
      <c r="H512" s="8"/>
      <c r="I512" s="4"/>
    </row>
    <row r="513" spans="1:9" x14ac:dyDescent="0.2">
      <c r="A513" s="2">
        <v>1</v>
      </c>
      <c r="B513" s="1" t="s">
        <v>132</v>
      </c>
      <c r="C513" s="4">
        <v>198</v>
      </c>
      <c r="D513" s="8">
        <v>6.53</v>
      </c>
      <c r="E513" s="4">
        <v>44</v>
      </c>
      <c r="F513" s="8">
        <v>3.29</v>
      </c>
      <c r="G513" s="4">
        <v>154</v>
      </c>
      <c r="H513" s="8">
        <v>9.14</v>
      </c>
      <c r="I513" s="4">
        <v>0</v>
      </c>
    </row>
    <row r="514" spans="1:9" x14ac:dyDescent="0.2">
      <c r="A514" s="2">
        <v>2</v>
      </c>
      <c r="B514" s="1" t="s">
        <v>138</v>
      </c>
      <c r="C514" s="4">
        <v>165</v>
      </c>
      <c r="D514" s="8">
        <v>5.45</v>
      </c>
      <c r="E514" s="4">
        <v>145</v>
      </c>
      <c r="F514" s="8">
        <v>10.85</v>
      </c>
      <c r="G514" s="4">
        <v>20</v>
      </c>
      <c r="H514" s="8">
        <v>1.19</v>
      </c>
      <c r="I514" s="4">
        <v>0</v>
      </c>
    </row>
    <row r="515" spans="1:9" x14ac:dyDescent="0.2">
      <c r="A515" s="2">
        <v>3</v>
      </c>
      <c r="B515" s="1" t="s">
        <v>122</v>
      </c>
      <c r="C515" s="4">
        <v>112</v>
      </c>
      <c r="D515" s="8">
        <v>3.7</v>
      </c>
      <c r="E515" s="4">
        <v>25</v>
      </c>
      <c r="F515" s="8">
        <v>1.87</v>
      </c>
      <c r="G515" s="4">
        <v>87</v>
      </c>
      <c r="H515" s="8">
        <v>5.17</v>
      </c>
      <c r="I515" s="4">
        <v>0</v>
      </c>
    </row>
    <row r="516" spans="1:9" x14ac:dyDescent="0.2">
      <c r="A516" s="2">
        <v>4</v>
      </c>
      <c r="B516" s="1" t="s">
        <v>140</v>
      </c>
      <c r="C516" s="4">
        <v>106</v>
      </c>
      <c r="D516" s="8">
        <v>3.5</v>
      </c>
      <c r="E516" s="4">
        <v>81</v>
      </c>
      <c r="F516" s="8">
        <v>6.06</v>
      </c>
      <c r="G516" s="4">
        <v>25</v>
      </c>
      <c r="H516" s="8">
        <v>1.48</v>
      </c>
      <c r="I516" s="4">
        <v>0</v>
      </c>
    </row>
    <row r="517" spans="1:9" x14ac:dyDescent="0.2">
      <c r="A517" s="2">
        <v>5</v>
      </c>
      <c r="B517" s="1" t="s">
        <v>141</v>
      </c>
      <c r="C517" s="4">
        <v>99</v>
      </c>
      <c r="D517" s="8">
        <v>3.27</v>
      </c>
      <c r="E517" s="4">
        <v>92</v>
      </c>
      <c r="F517" s="8">
        <v>6.88</v>
      </c>
      <c r="G517" s="4">
        <v>7</v>
      </c>
      <c r="H517" s="8">
        <v>0.42</v>
      </c>
      <c r="I517" s="4">
        <v>0</v>
      </c>
    </row>
    <row r="518" spans="1:9" x14ac:dyDescent="0.2">
      <c r="A518" s="2">
        <v>6</v>
      </c>
      <c r="B518" s="1" t="s">
        <v>131</v>
      </c>
      <c r="C518" s="4">
        <v>77</v>
      </c>
      <c r="D518" s="8">
        <v>2.54</v>
      </c>
      <c r="E518" s="4">
        <v>5</v>
      </c>
      <c r="F518" s="8">
        <v>0.37</v>
      </c>
      <c r="G518" s="4">
        <v>72</v>
      </c>
      <c r="H518" s="8">
        <v>4.28</v>
      </c>
      <c r="I518" s="4">
        <v>0</v>
      </c>
    </row>
    <row r="519" spans="1:9" x14ac:dyDescent="0.2">
      <c r="A519" s="2">
        <v>7</v>
      </c>
      <c r="B519" s="1" t="s">
        <v>133</v>
      </c>
      <c r="C519" s="4">
        <v>76</v>
      </c>
      <c r="D519" s="8">
        <v>2.5099999999999998</v>
      </c>
      <c r="E519" s="4">
        <v>64</v>
      </c>
      <c r="F519" s="8">
        <v>4.79</v>
      </c>
      <c r="G519" s="4">
        <v>12</v>
      </c>
      <c r="H519" s="8">
        <v>0.71</v>
      </c>
      <c r="I519" s="4">
        <v>0</v>
      </c>
    </row>
    <row r="520" spans="1:9" x14ac:dyDescent="0.2">
      <c r="A520" s="2">
        <v>8</v>
      </c>
      <c r="B520" s="1" t="s">
        <v>129</v>
      </c>
      <c r="C520" s="4">
        <v>71</v>
      </c>
      <c r="D520" s="8">
        <v>2.34</v>
      </c>
      <c r="E520" s="4">
        <v>50</v>
      </c>
      <c r="F520" s="8">
        <v>3.74</v>
      </c>
      <c r="G520" s="4">
        <v>21</v>
      </c>
      <c r="H520" s="8">
        <v>1.25</v>
      </c>
      <c r="I520" s="4">
        <v>0</v>
      </c>
    </row>
    <row r="521" spans="1:9" x14ac:dyDescent="0.2">
      <c r="A521" s="2">
        <v>8</v>
      </c>
      <c r="B521" s="1" t="s">
        <v>143</v>
      </c>
      <c r="C521" s="4">
        <v>71</v>
      </c>
      <c r="D521" s="8">
        <v>2.34</v>
      </c>
      <c r="E521" s="4">
        <v>2</v>
      </c>
      <c r="F521" s="8">
        <v>0.15</v>
      </c>
      <c r="G521" s="4">
        <v>68</v>
      </c>
      <c r="H521" s="8">
        <v>4.04</v>
      </c>
      <c r="I521" s="4">
        <v>1</v>
      </c>
    </row>
    <row r="522" spans="1:9" x14ac:dyDescent="0.2">
      <c r="A522" s="2">
        <v>10</v>
      </c>
      <c r="B522" s="1" t="s">
        <v>136</v>
      </c>
      <c r="C522" s="4">
        <v>70</v>
      </c>
      <c r="D522" s="8">
        <v>2.31</v>
      </c>
      <c r="E522" s="4">
        <v>62</v>
      </c>
      <c r="F522" s="8">
        <v>4.6399999999999997</v>
      </c>
      <c r="G522" s="4">
        <v>8</v>
      </c>
      <c r="H522" s="8">
        <v>0.48</v>
      </c>
      <c r="I522" s="4">
        <v>0</v>
      </c>
    </row>
    <row r="523" spans="1:9" x14ac:dyDescent="0.2">
      <c r="A523" s="2">
        <v>11</v>
      </c>
      <c r="B523" s="1" t="s">
        <v>130</v>
      </c>
      <c r="C523" s="4">
        <v>55</v>
      </c>
      <c r="D523" s="8">
        <v>1.82</v>
      </c>
      <c r="E523" s="4">
        <v>12</v>
      </c>
      <c r="F523" s="8">
        <v>0.9</v>
      </c>
      <c r="G523" s="4">
        <v>43</v>
      </c>
      <c r="H523" s="8">
        <v>2.5499999999999998</v>
      </c>
      <c r="I523" s="4">
        <v>0</v>
      </c>
    </row>
    <row r="524" spans="1:9" x14ac:dyDescent="0.2">
      <c r="A524" s="2">
        <v>12</v>
      </c>
      <c r="B524" s="1" t="s">
        <v>134</v>
      </c>
      <c r="C524" s="4">
        <v>54</v>
      </c>
      <c r="D524" s="8">
        <v>1.78</v>
      </c>
      <c r="E524" s="4">
        <v>51</v>
      </c>
      <c r="F524" s="8">
        <v>3.81</v>
      </c>
      <c r="G524" s="4">
        <v>3</v>
      </c>
      <c r="H524" s="8">
        <v>0.18</v>
      </c>
      <c r="I524" s="4">
        <v>0</v>
      </c>
    </row>
    <row r="525" spans="1:9" x14ac:dyDescent="0.2">
      <c r="A525" s="2">
        <v>13</v>
      </c>
      <c r="B525" s="1" t="s">
        <v>125</v>
      </c>
      <c r="C525" s="4">
        <v>53</v>
      </c>
      <c r="D525" s="8">
        <v>1.75</v>
      </c>
      <c r="E525" s="4">
        <v>29</v>
      </c>
      <c r="F525" s="8">
        <v>2.17</v>
      </c>
      <c r="G525" s="4">
        <v>24</v>
      </c>
      <c r="H525" s="8">
        <v>1.43</v>
      </c>
      <c r="I525" s="4">
        <v>0</v>
      </c>
    </row>
    <row r="526" spans="1:9" x14ac:dyDescent="0.2">
      <c r="A526" s="2">
        <v>13</v>
      </c>
      <c r="B526" s="1" t="s">
        <v>137</v>
      </c>
      <c r="C526" s="4">
        <v>53</v>
      </c>
      <c r="D526" s="8">
        <v>1.75</v>
      </c>
      <c r="E526" s="4">
        <v>48</v>
      </c>
      <c r="F526" s="8">
        <v>3.59</v>
      </c>
      <c r="G526" s="4">
        <v>5</v>
      </c>
      <c r="H526" s="8">
        <v>0.3</v>
      </c>
      <c r="I526" s="4">
        <v>0</v>
      </c>
    </row>
    <row r="527" spans="1:9" x14ac:dyDescent="0.2">
      <c r="A527" s="2">
        <v>15</v>
      </c>
      <c r="B527" s="1" t="s">
        <v>146</v>
      </c>
      <c r="C527" s="4">
        <v>50</v>
      </c>
      <c r="D527" s="8">
        <v>1.65</v>
      </c>
      <c r="E527" s="4">
        <v>17</v>
      </c>
      <c r="F527" s="8">
        <v>1.27</v>
      </c>
      <c r="G527" s="4">
        <v>33</v>
      </c>
      <c r="H527" s="8">
        <v>1.96</v>
      </c>
      <c r="I527" s="4">
        <v>0</v>
      </c>
    </row>
    <row r="528" spans="1:9" x14ac:dyDescent="0.2">
      <c r="A528" s="2">
        <v>16</v>
      </c>
      <c r="B528" s="1" t="s">
        <v>139</v>
      </c>
      <c r="C528" s="4">
        <v>49</v>
      </c>
      <c r="D528" s="8">
        <v>1.62</v>
      </c>
      <c r="E528" s="4">
        <v>35</v>
      </c>
      <c r="F528" s="8">
        <v>2.62</v>
      </c>
      <c r="G528" s="4">
        <v>13</v>
      </c>
      <c r="H528" s="8">
        <v>0.77</v>
      </c>
      <c r="I528" s="4">
        <v>1</v>
      </c>
    </row>
    <row r="529" spans="1:9" x14ac:dyDescent="0.2">
      <c r="A529" s="2">
        <v>17</v>
      </c>
      <c r="B529" s="1" t="s">
        <v>127</v>
      </c>
      <c r="C529" s="4">
        <v>46</v>
      </c>
      <c r="D529" s="8">
        <v>1.52</v>
      </c>
      <c r="E529" s="4">
        <v>27</v>
      </c>
      <c r="F529" s="8">
        <v>2.02</v>
      </c>
      <c r="G529" s="4">
        <v>19</v>
      </c>
      <c r="H529" s="8">
        <v>1.1299999999999999</v>
      </c>
      <c r="I529" s="4">
        <v>0</v>
      </c>
    </row>
    <row r="530" spans="1:9" x14ac:dyDescent="0.2">
      <c r="A530" s="2">
        <v>18</v>
      </c>
      <c r="B530" s="1" t="s">
        <v>151</v>
      </c>
      <c r="C530" s="4">
        <v>43</v>
      </c>
      <c r="D530" s="8">
        <v>1.42</v>
      </c>
      <c r="E530" s="4">
        <v>24</v>
      </c>
      <c r="F530" s="8">
        <v>1.8</v>
      </c>
      <c r="G530" s="4">
        <v>19</v>
      </c>
      <c r="H530" s="8">
        <v>1.1299999999999999</v>
      </c>
      <c r="I530" s="4">
        <v>0</v>
      </c>
    </row>
    <row r="531" spans="1:9" x14ac:dyDescent="0.2">
      <c r="A531" s="2">
        <v>19</v>
      </c>
      <c r="B531" s="1" t="s">
        <v>177</v>
      </c>
      <c r="C531" s="4">
        <v>42</v>
      </c>
      <c r="D531" s="8">
        <v>1.39</v>
      </c>
      <c r="E531" s="4">
        <v>2</v>
      </c>
      <c r="F531" s="8">
        <v>0.15</v>
      </c>
      <c r="G531" s="4">
        <v>40</v>
      </c>
      <c r="H531" s="8">
        <v>2.38</v>
      </c>
      <c r="I531" s="4">
        <v>0</v>
      </c>
    </row>
    <row r="532" spans="1:9" x14ac:dyDescent="0.2">
      <c r="A532" s="2">
        <v>20</v>
      </c>
      <c r="B532" s="1" t="s">
        <v>126</v>
      </c>
      <c r="C532" s="4">
        <v>40</v>
      </c>
      <c r="D532" s="8">
        <v>1.32</v>
      </c>
      <c r="E532" s="4">
        <v>23</v>
      </c>
      <c r="F532" s="8">
        <v>1.72</v>
      </c>
      <c r="G532" s="4">
        <v>17</v>
      </c>
      <c r="H532" s="8">
        <v>1.01</v>
      </c>
      <c r="I532" s="4">
        <v>0</v>
      </c>
    </row>
    <row r="533" spans="1:9" x14ac:dyDescent="0.2">
      <c r="A533" s="1"/>
      <c r="C533" s="4"/>
      <c r="D533" s="8"/>
      <c r="E533" s="4"/>
      <c r="F533" s="8"/>
      <c r="G533" s="4"/>
      <c r="H533" s="8"/>
      <c r="I533" s="4"/>
    </row>
    <row r="534" spans="1:9" x14ac:dyDescent="0.2">
      <c r="A534" s="1" t="s">
        <v>24</v>
      </c>
      <c r="C534" s="4"/>
      <c r="D534" s="8"/>
      <c r="E534" s="4"/>
      <c r="F534" s="8"/>
      <c r="G534" s="4"/>
      <c r="H534" s="8"/>
      <c r="I534" s="4"/>
    </row>
    <row r="535" spans="1:9" x14ac:dyDescent="0.2">
      <c r="A535" s="2">
        <v>1</v>
      </c>
      <c r="B535" s="1" t="s">
        <v>178</v>
      </c>
      <c r="C535" s="4">
        <v>101</v>
      </c>
      <c r="D535" s="8">
        <v>5.76</v>
      </c>
      <c r="E535" s="4">
        <v>67</v>
      </c>
      <c r="F535" s="8">
        <v>6.66</v>
      </c>
      <c r="G535" s="4">
        <v>34</v>
      </c>
      <c r="H535" s="8">
        <v>4.62</v>
      </c>
      <c r="I535" s="4">
        <v>0</v>
      </c>
    </row>
    <row r="536" spans="1:9" x14ac:dyDescent="0.2">
      <c r="A536" s="2">
        <v>2</v>
      </c>
      <c r="B536" s="1" t="s">
        <v>138</v>
      </c>
      <c r="C536" s="4">
        <v>82</v>
      </c>
      <c r="D536" s="8">
        <v>4.68</v>
      </c>
      <c r="E536" s="4">
        <v>79</v>
      </c>
      <c r="F536" s="8">
        <v>7.85</v>
      </c>
      <c r="G536" s="4">
        <v>3</v>
      </c>
      <c r="H536" s="8">
        <v>0.41</v>
      </c>
      <c r="I536" s="4">
        <v>0</v>
      </c>
    </row>
    <row r="537" spans="1:9" x14ac:dyDescent="0.2">
      <c r="A537" s="2">
        <v>3</v>
      </c>
      <c r="B537" s="1" t="s">
        <v>160</v>
      </c>
      <c r="C537" s="4">
        <v>56</v>
      </c>
      <c r="D537" s="8">
        <v>3.2</v>
      </c>
      <c r="E537" s="4">
        <v>29</v>
      </c>
      <c r="F537" s="8">
        <v>2.88</v>
      </c>
      <c r="G537" s="4">
        <v>27</v>
      </c>
      <c r="H537" s="8">
        <v>3.67</v>
      </c>
      <c r="I537" s="4">
        <v>0</v>
      </c>
    </row>
    <row r="538" spans="1:9" x14ac:dyDescent="0.2">
      <c r="A538" s="2">
        <v>4</v>
      </c>
      <c r="B538" s="1" t="s">
        <v>137</v>
      </c>
      <c r="C538" s="4">
        <v>55</v>
      </c>
      <c r="D538" s="8">
        <v>3.14</v>
      </c>
      <c r="E538" s="4">
        <v>54</v>
      </c>
      <c r="F538" s="8">
        <v>5.37</v>
      </c>
      <c r="G538" s="4">
        <v>1</v>
      </c>
      <c r="H538" s="8">
        <v>0.14000000000000001</v>
      </c>
      <c r="I538" s="4">
        <v>0</v>
      </c>
    </row>
    <row r="539" spans="1:9" x14ac:dyDescent="0.2">
      <c r="A539" s="2">
        <v>5</v>
      </c>
      <c r="B539" s="1" t="s">
        <v>136</v>
      </c>
      <c r="C539" s="4">
        <v>54</v>
      </c>
      <c r="D539" s="8">
        <v>3.08</v>
      </c>
      <c r="E539" s="4">
        <v>52</v>
      </c>
      <c r="F539" s="8">
        <v>5.17</v>
      </c>
      <c r="G539" s="4">
        <v>2</v>
      </c>
      <c r="H539" s="8">
        <v>0.27</v>
      </c>
      <c r="I539" s="4">
        <v>0</v>
      </c>
    </row>
    <row r="540" spans="1:9" x14ac:dyDescent="0.2">
      <c r="A540" s="2">
        <v>6</v>
      </c>
      <c r="B540" s="1" t="s">
        <v>122</v>
      </c>
      <c r="C540" s="4">
        <v>50</v>
      </c>
      <c r="D540" s="8">
        <v>2.85</v>
      </c>
      <c r="E540" s="4">
        <v>13</v>
      </c>
      <c r="F540" s="8">
        <v>1.29</v>
      </c>
      <c r="G540" s="4">
        <v>37</v>
      </c>
      <c r="H540" s="8">
        <v>5.03</v>
      </c>
      <c r="I540" s="4">
        <v>0</v>
      </c>
    </row>
    <row r="541" spans="1:9" x14ac:dyDescent="0.2">
      <c r="A541" s="2">
        <v>7</v>
      </c>
      <c r="B541" s="1" t="s">
        <v>133</v>
      </c>
      <c r="C541" s="4">
        <v>48</v>
      </c>
      <c r="D541" s="8">
        <v>2.74</v>
      </c>
      <c r="E541" s="4">
        <v>44</v>
      </c>
      <c r="F541" s="8">
        <v>4.37</v>
      </c>
      <c r="G541" s="4">
        <v>4</v>
      </c>
      <c r="H541" s="8">
        <v>0.54</v>
      </c>
      <c r="I541" s="4">
        <v>0</v>
      </c>
    </row>
    <row r="542" spans="1:9" x14ac:dyDescent="0.2">
      <c r="A542" s="2">
        <v>8</v>
      </c>
      <c r="B542" s="1" t="s">
        <v>127</v>
      </c>
      <c r="C542" s="4">
        <v>42</v>
      </c>
      <c r="D542" s="8">
        <v>2.4</v>
      </c>
      <c r="E542" s="4">
        <v>23</v>
      </c>
      <c r="F542" s="8">
        <v>2.29</v>
      </c>
      <c r="G542" s="4">
        <v>19</v>
      </c>
      <c r="H542" s="8">
        <v>2.58</v>
      </c>
      <c r="I542" s="4">
        <v>0</v>
      </c>
    </row>
    <row r="543" spans="1:9" x14ac:dyDescent="0.2">
      <c r="A543" s="2">
        <v>9</v>
      </c>
      <c r="B543" s="1" t="s">
        <v>140</v>
      </c>
      <c r="C543" s="4">
        <v>34</v>
      </c>
      <c r="D543" s="8">
        <v>1.94</v>
      </c>
      <c r="E543" s="4">
        <v>26</v>
      </c>
      <c r="F543" s="8">
        <v>2.58</v>
      </c>
      <c r="G543" s="4">
        <v>8</v>
      </c>
      <c r="H543" s="8">
        <v>1.0900000000000001</v>
      </c>
      <c r="I543" s="4">
        <v>0</v>
      </c>
    </row>
    <row r="544" spans="1:9" x14ac:dyDescent="0.2">
      <c r="A544" s="2">
        <v>10</v>
      </c>
      <c r="B544" s="1" t="s">
        <v>123</v>
      </c>
      <c r="C544" s="4">
        <v>33</v>
      </c>
      <c r="D544" s="8">
        <v>1.88</v>
      </c>
      <c r="E544" s="4">
        <v>14</v>
      </c>
      <c r="F544" s="8">
        <v>1.39</v>
      </c>
      <c r="G544" s="4">
        <v>19</v>
      </c>
      <c r="H544" s="8">
        <v>2.58</v>
      </c>
      <c r="I544" s="4">
        <v>0</v>
      </c>
    </row>
    <row r="545" spans="1:9" x14ac:dyDescent="0.2">
      <c r="A545" s="2">
        <v>11</v>
      </c>
      <c r="B545" s="1" t="s">
        <v>129</v>
      </c>
      <c r="C545" s="4">
        <v>31</v>
      </c>
      <c r="D545" s="8">
        <v>1.77</v>
      </c>
      <c r="E545" s="4">
        <v>17</v>
      </c>
      <c r="F545" s="8">
        <v>1.69</v>
      </c>
      <c r="G545" s="4">
        <v>14</v>
      </c>
      <c r="H545" s="8">
        <v>1.9</v>
      </c>
      <c r="I545" s="4">
        <v>0</v>
      </c>
    </row>
    <row r="546" spans="1:9" x14ac:dyDescent="0.2">
      <c r="A546" s="2">
        <v>11</v>
      </c>
      <c r="B546" s="1" t="s">
        <v>165</v>
      </c>
      <c r="C546" s="4">
        <v>31</v>
      </c>
      <c r="D546" s="8">
        <v>1.77</v>
      </c>
      <c r="E546" s="4">
        <v>27</v>
      </c>
      <c r="F546" s="8">
        <v>2.68</v>
      </c>
      <c r="G546" s="4">
        <v>4</v>
      </c>
      <c r="H546" s="8">
        <v>0.54</v>
      </c>
      <c r="I546" s="4">
        <v>0</v>
      </c>
    </row>
    <row r="547" spans="1:9" x14ac:dyDescent="0.2">
      <c r="A547" s="2">
        <v>13</v>
      </c>
      <c r="B547" s="1" t="s">
        <v>141</v>
      </c>
      <c r="C547" s="4">
        <v>30</v>
      </c>
      <c r="D547" s="8">
        <v>1.71</v>
      </c>
      <c r="E547" s="4">
        <v>27</v>
      </c>
      <c r="F547" s="8">
        <v>2.68</v>
      </c>
      <c r="G547" s="4">
        <v>3</v>
      </c>
      <c r="H547" s="8">
        <v>0.41</v>
      </c>
      <c r="I547" s="4">
        <v>0</v>
      </c>
    </row>
    <row r="548" spans="1:9" x14ac:dyDescent="0.2">
      <c r="A548" s="2">
        <v>14</v>
      </c>
      <c r="B548" s="1" t="s">
        <v>132</v>
      </c>
      <c r="C548" s="4">
        <v>26</v>
      </c>
      <c r="D548" s="8">
        <v>1.48</v>
      </c>
      <c r="E548" s="4">
        <v>3</v>
      </c>
      <c r="F548" s="8">
        <v>0.3</v>
      </c>
      <c r="G548" s="4">
        <v>23</v>
      </c>
      <c r="H548" s="8">
        <v>3.13</v>
      </c>
      <c r="I548" s="4">
        <v>0</v>
      </c>
    </row>
    <row r="549" spans="1:9" x14ac:dyDescent="0.2">
      <c r="A549" s="2">
        <v>15</v>
      </c>
      <c r="B549" s="1" t="s">
        <v>126</v>
      </c>
      <c r="C549" s="4">
        <v>25</v>
      </c>
      <c r="D549" s="8">
        <v>1.43</v>
      </c>
      <c r="E549" s="4">
        <v>20</v>
      </c>
      <c r="F549" s="8">
        <v>1.99</v>
      </c>
      <c r="G549" s="4">
        <v>4</v>
      </c>
      <c r="H549" s="8">
        <v>0.54</v>
      </c>
      <c r="I549" s="4">
        <v>1</v>
      </c>
    </row>
    <row r="550" spans="1:9" x14ac:dyDescent="0.2">
      <c r="A550" s="2">
        <v>15</v>
      </c>
      <c r="B550" s="1" t="s">
        <v>134</v>
      </c>
      <c r="C550" s="4">
        <v>25</v>
      </c>
      <c r="D550" s="8">
        <v>1.43</v>
      </c>
      <c r="E550" s="4">
        <v>23</v>
      </c>
      <c r="F550" s="8">
        <v>2.29</v>
      </c>
      <c r="G550" s="4">
        <v>2</v>
      </c>
      <c r="H550" s="8">
        <v>0.27</v>
      </c>
      <c r="I550" s="4">
        <v>0</v>
      </c>
    </row>
    <row r="551" spans="1:9" x14ac:dyDescent="0.2">
      <c r="A551" s="2">
        <v>17</v>
      </c>
      <c r="B551" s="1" t="s">
        <v>159</v>
      </c>
      <c r="C551" s="4">
        <v>24</v>
      </c>
      <c r="D551" s="8">
        <v>1.37</v>
      </c>
      <c r="E551" s="4">
        <v>15</v>
      </c>
      <c r="F551" s="8">
        <v>1.49</v>
      </c>
      <c r="G551" s="4">
        <v>9</v>
      </c>
      <c r="H551" s="8">
        <v>1.22</v>
      </c>
      <c r="I551" s="4">
        <v>0</v>
      </c>
    </row>
    <row r="552" spans="1:9" x14ac:dyDescent="0.2">
      <c r="A552" s="2">
        <v>18</v>
      </c>
      <c r="B552" s="1" t="s">
        <v>169</v>
      </c>
      <c r="C552" s="4">
        <v>23</v>
      </c>
      <c r="D552" s="8">
        <v>1.31</v>
      </c>
      <c r="E552" s="4">
        <v>15</v>
      </c>
      <c r="F552" s="8">
        <v>1.49</v>
      </c>
      <c r="G552" s="4">
        <v>8</v>
      </c>
      <c r="H552" s="8">
        <v>1.0900000000000001</v>
      </c>
      <c r="I552" s="4">
        <v>0</v>
      </c>
    </row>
    <row r="553" spans="1:9" x14ac:dyDescent="0.2">
      <c r="A553" s="2">
        <v>18</v>
      </c>
      <c r="B553" s="1" t="s">
        <v>139</v>
      </c>
      <c r="C553" s="4">
        <v>23</v>
      </c>
      <c r="D553" s="8">
        <v>1.31</v>
      </c>
      <c r="E553" s="4">
        <v>17</v>
      </c>
      <c r="F553" s="8">
        <v>1.69</v>
      </c>
      <c r="G553" s="4">
        <v>6</v>
      </c>
      <c r="H553" s="8">
        <v>0.82</v>
      </c>
      <c r="I553" s="4">
        <v>0</v>
      </c>
    </row>
    <row r="554" spans="1:9" x14ac:dyDescent="0.2">
      <c r="A554" s="2">
        <v>20</v>
      </c>
      <c r="B554" s="1" t="s">
        <v>124</v>
      </c>
      <c r="C554" s="4">
        <v>21</v>
      </c>
      <c r="D554" s="8">
        <v>1.2</v>
      </c>
      <c r="E554" s="4">
        <v>11</v>
      </c>
      <c r="F554" s="8">
        <v>1.0900000000000001</v>
      </c>
      <c r="G554" s="4">
        <v>10</v>
      </c>
      <c r="H554" s="8">
        <v>1.36</v>
      </c>
      <c r="I554" s="4">
        <v>0</v>
      </c>
    </row>
    <row r="555" spans="1:9" x14ac:dyDescent="0.2">
      <c r="A555" s="2">
        <v>20</v>
      </c>
      <c r="B555" s="1" t="s">
        <v>135</v>
      </c>
      <c r="C555" s="4">
        <v>21</v>
      </c>
      <c r="D555" s="8">
        <v>1.2</v>
      </c>
      <c r="E555" s="4">
        <v>21</v>
      </c>
      <c r="F555" s="8">
        <v>2.09</v>
      </c>
      <c r="G555" s="4">
        <v>0</v>
      </c>
      <c r="H555" s="8">
        <v>0</v>
      </c>
      <c r="I555" s="4">
        <v>0</v>
      </c>
    </row>
    <row r="556" spans="1:9" x14ac:dyDescent="0.2">
      <c r="A556" s="1"/>
      <c r="C556" s="4"/>
      <c r="D556" s="8"/>
      <c r="E556" s="4"/>
      <c r="F556" s="8"/>
      <c r="G556" s="4"/>
      <c r="H556" s="8"/>
      <c r="I556" s="4"/>
    </row>
    <row r="557" spans="1:9" x14ac:dyDescent="0.2">
      <c r="A557" s="1" t="s">
        <v>25</v>
      </c>
      <c r="C557" s="4"/>
      <c r="D557" s="8"/>
      <c r="E557" s="4"/>
      <c r="F557" s="8"/>
      <c r="G557" s="4"/>
      <c r="H557" s="8"/>
      <c r="I557" s="4"/>
    </row>
    <row r="558" spans="1:9" x14ac:dyDescent="0.2">
      <c r="A558" s="2">
        <v>1</v>
      </c>
      <c r="B558" s="1" t="s">
        <v>138</v>
      </c>
      <c r="C558" s="4">
        <v>100</v>
      </c>
      <c r="D558" s="8">
        <v>5.77</v>
      </c>
      <c r="E558" s="4">
        <v>92</v>
      </c>
      <c r="F558" s="8">
        <v>9.36</v>
      </c>
      <c r="G558" s="4">
        <v>8</v>
      </c>
      <c r="H558" s="8">
        <v>1.08</v>
      </c>
      <c r="I558" s="4">
        <v>0</v>
      </c>
    </row>
    <row r="559" spans="1:9" x14ac:dyDescent="0.2">
      <c r="A559" s="2">
        <v>2</v>
      </c>
      <c r="B559" s="1" t="s">
        <v>136</v>
      </c>
      <c r="C559" s="4">
        <v>70</v>
      </c>
      <c r="D559" s="8">
        <v>4.04</v>
      </c>
      <c r="E559" s="4">
        <v>69</v>
      </c>
      <c r="F559" s="8">
        <v>7.02</v>
      </c>
      <c r="G559" s="4">
        <v>1</v>
      </c>
      <c r="H559" s="8">
        <v>0.13</v>
      </c>
      <c r="I559" s="4">
        <v>0</v>
      </c>
    </row>
    <row r="560" spans="1:9" x14ac:dyDescent="0.2">
      <c r="A560" s="2">
        <v>3</v>
      </c>
      <c r="B560" s="1" t="s">
        <v>140</v>
      </c>
      <c r="C560" s="4">
        <v>57</v>
      </c>
      <c r="D560" s="8">
        <v>3.29</v>
      </c>
      <c r="E560" s="4">
        <v>46</v>
      </c>
      <c r="F560" s="8">
        <v>4.68</v>
      </c>
      <c r="G560" s="4">
        <v>11</v>
      </c>
      <c r="H560" s="8">
        <v>1.48</v>
      </c>
      <c r="I560" s="4">
        <v>0</v>
      </c>
    </row>
    <row r="561" spans="1:9" x14ac:dyDescent="0.2">
      <c r="A561" s="2">
        <v>4</v>
      </c>
      <c r="B561" s="1" t="s">
        <v>137</v>
      </c>
      <c r="C561" s="4">
        <v>56</v>
      </c>
      <c r="D561" s="8">
        <v>3.23</v>
      </c>
      <c r="E561" s="4">
        <v>55</v>
      </c>
      <c r="F561" s="8">
        <v>5.6</v>
      </c>
      <c r="G561" s="4">
        <v>1</v>
      </c>
      <c r="H561" s="8">
        <v>0.13</v>
      </c>
      <c r="I561" s="4">
        <v>0</v>
      </c>
    </row>
    <row r="562" spans="1:9" x14ac:dyDescent="0.2">
      <c r="A562" s="2">
        <v>5</v>
      </c>
      <c r="B562" s="1" t="s">
        <v>134</v>
      </c>
      <c r="C562" s="4">
        <v>51</v>
      </c>
      <c r="D562" s="8">
        <v>2.94</v>
      </c>
      <c r="E562" s="4">
        <v>49</v>
      </c>
      <c r="F562" s="8">
        <v>4.9800000000000004</v>
      </c>
      <c r="G562" s="4">
        <v>2</v>
      </c>
      <c r="H562" s="8">
        <v>0.27</v>
      </c>
      <c r="I562" s="4">
        <v>0</v>
      </c>
    </row>
    <row r="563" spans="1:9" x14ac:dyDescent="0.2">
      <c r="A563" s="2">
        <v>6</v>
      </c>
      <c r="B563" s="1" t="s">
        <v>132</v>
      </c>
      <c r="C563" s="4">
        <v>48</v>
      </c>
      <c r="D563" s="8">
        <v>2.77</v>
      </c>
      <c r="E563" s="4">
        <v>20</v>
      </c>
      <c r="F563" s="8">
        <v>2.0299999999999998</v>
      </c>
      <c r="G563" s="4">
        <v>28</v>
      </c>
      <c r="H563" s="8">
        <v>3.77</v>
      </c>
      <c r="I563" s="4">
        <v>0</v>
      </c>
    </row>
    <row r="564" spans="1:9" x14ac:dyDescent="0.2">
      <c r="A564" s="2">
        <v>7</v>
      </c>
      <c r="B564" s="1" t="s">
        <v>122</v>
      </c>
      <c r="C564" s="4">
        <v>47</v>
      </c>
      <c r="D564" s="8">
        <v>2.71</v>
      </c>
      <c r="E564" s="4">
        <v>6</v>
      </c>
      <c r="F564" s="8">
        <v>0.61</v>
      </c>
      <c r="G564" s="4">
        <v>41</v>
      </c>
      <c r="H564" s="8">
        <v>5.53</v>
      </c>
      <c r="I564" s="4">
        <v>0</v>
      </c>
    </row>
    <row r="565" spans="1:9" x14ac:dyDescent="0.2">
      <c r="A565" s="2">
        <v>7</v>
      </c>
      <c r="B565" s="1" t="s">
        <v>135</v>
      </c>
      <c r="C565" s="4">
        <v>47</v>
      </c>
      <c r="D565" s="8">
        <v>2.71</v>
      </c>
      <c r="E565" s="4">
        <v>47</v>
      </c>
      <c r="F565" s="8">
        <v>4.78</v>
      </c>
      <c r="G565" s="4">
        <v>0</v>
      </c>
      <c r="H565" s="8">
        <v>0</v>
      </c>
      <c r="I565" s="4">
        <v>0</v>
      </c>
    </row>
    <row r="566" spans="1:9" x14ac:dyDescent="0.2">
      <c r="A566" s="2">
        <v>9</v>
      </c>
      <c r="B566" s="1" t="s">
        <v>159</v>
      </c>
      <c r="C566" s="4">
        <v>41</v>
      </c>
      <c r="D566" s="8">
        <v>2.36</v>
      </c>
      <c r="E566" s="4">
        <v>11</v>
      </c>
      <c r="F566" s="8">
        <v>1.1200000000000001</v>
      </c>
      <c r="G566" s="4">
        <v>30</v>
      </c>
      <c r="H566" s="8">
        <v>4.04</v>
      </c>
      <c r="I566" s="4">
        <v>0</v>
      </c>
    </row>
    <row r="567" spans="1:9" x14ac:dyDescent="0.2">
      <c r="A567" s="2">
        <v>10</v>
      </c>
      <c r="B567" s="1" t="s">
        <v>133</v>
      </c>
      <c r="C567" s="4">
        <v>39</v>
      </c>
      <c r="D567" s="8">
        <v>2.25</v>
      </c>
      <c r="E567" s="4">
        <v>34</v>
      </c>
      <c r="F567" s="8">
        <v>3.46</v>
      </c>
      <c r="G567" s="4">
        <v>5</v>
      </c>
      <c r="H567" s="8">
        <v>0.67</v>
      </c>
      <c r="I567" s="4">
        <v>0</v>
      </c>
    </row>
    <row r="568" spans="1:9" x14ac:dyDescent="0.2">
      <c r="A568" s="2">
        <v>11</v>
      </c>
      <c r="B568" s="1" t="s">
        <v>141</v>
      </c>
      <c r="C568" s="4">
        <v>37</v>
      </c>
      <c r="D568" s="8">
        <v>2.13</v>
      </c>
      <c r="E568" s="4">
        <v>33</v>
      </c>
      <c r="F568" s="8">
        <v>3.36</v>
      </c>
      <c r="G568" s="4">
        <v>4</v>
      </c>
      <c r="H568" s="8">
        <v>0.54</v>
      </c>
      <c r="I568" s="4">
        <v>0</v>
      </c>
    </row>
    <row r="569" spans="1:9" x14ac:dyDescent="0.2">
      <c r="A569" s="2">
        <v>12</v>
      </c>
      <c r="B569" s="1" t="s">
        <v>139</v>
      </c>
      <c r="C569" s="4">
        <v>35</v>
      </c>
      <c r="D569" s="8">
        <v>2.02</v>
      </c>
      <c r="E569" s="4">
        <v>29</v>
      </c>
      <c r="F569" s="8">
        <v>2.95</v>
      </c>
      <c r="G569" s="4">
        <v>6</v>
      </c>
      <c r="H569" s="8">
        <v>0.81</v>
      </c>
      <c r="I569" s="4">
        <v>0</v>
      </c>
    </row>
    <row r="570" spans="1:9" x14ac:dyDescent="0.2">
      <c r="A570" s="2">
        <v>13</v>
      </c>
      <c r="B570" s="1" t="s">
        <v>128</v>
      </c>
      <c r="C570" s="4">
        <v>33</v>
      </c>
      <c r="D570" s="8">
        <v>1.9</v>
      </c>
      <c r="E570" s="4">
        <v>12</v>
      </c>
      <c r="F570" s="8">
        <v>1.22</v>
      </c>
      <c r="G570" s="4">
        <v>21</v>
      </c>
      <c r="H570" s="8">
        <v>2.83</v>
      </c>
      <c r="I570" s="4">
        <v>0</v>
      </c>
    </row>
    <row r="571" spans="1:9" x14ac:dyDescent="0.2">
      <c r="A571" s="2">
        <v>14</v>
      </c>
      <c r="B571" s="1" t="s">
        <v>124</v>
      </c>
      <c r="C571" s="4">
        <v>30</v>
      </c>
      <c r="D571" s="8">
        <v>1.73</v>
      </c>
      <c r="E571" s="4">
        <v>8</v>
      </c>
      <c r="F571" s="8">
        <v>0.81</v>
      </c>
      <c r="G571" s="4">
        <v>22</v>
      </c>
      <c r="H571" s="8">
        <v>2.96</v>
      </c>
      <c r="I571" s="4">
        <v>0</v>
      </c>
    </row>
    <row r="572" spans="1:9" x14ac:dyDescent="0.2">
      <c r="A572" s="2">
        <v>15</v>
      </c>
      <c r="B572" s="1" t="s">
        <v>129</v>
      </c>
      <c r="C572" s="4">
        <v>28</v>
      </c>
      <c r="D572" s="8">
        <v>1.61</v>
      </c>
      <c r="E572" s="4">
        <v>22</v>
      </c>
      <c r="F572" s="8">
        <v>2.2400000000000002</v>
      </c>
      <c r="G572" s="4">
        <v>6</v>
      </c>
      <c r="H572" s="8">
        <v>0.81</v>
      </c>
      <c r="I572" s="4">
        <v>0</v>
      </c>
    </row>
    <row r="573" spans="1:9" x14ac:dyDescent="0.2">
      <c r="A573" s="2">
        <v>16</v>
      </c>
      <c r="B573" s="1" t="s">
        <v>126</v>
      </c>
      <c r="C573" s="4">
        <v>26</v>
      </c>
      <c r="D573" s="8">
        <v>1.5</v>
      </c>
      <c r="E573" s="4">
        <v>19</v>
      </c>
      <c r="F573" s="8">
        <v>1.93</v>
      </c>
      <c r="G573" s="4">
        <v>7</v>
      </c>
      <c r="H573" s="8">
        <v>0.94</v>
      </c>
      <c r="I573" s="4">
        <v>0</v>
      </c>
    </row>
    <row r="574" spans="1:9" x14ac:dyDescent="0.2">
      <c r="A574" s="2">
        <v>16</v>
      </c>
      <c r="B574" s="1" t="s">
        <v>131</v>
      </c>
      <c r="C574" s="4">
        <v>26</v>
      </c>
      <c r="D574" s="8">
        <v>1.5</v>
      </c>
      <c r="E574" s="4">
        <v>4</v>
      </c>
      <c r="F574" s="8">
        <v>0.41</v>
      </c>
      <c r="G574" s="4">
        <v>22</v>
      </c>
      <c r="H574" s="8">
        <v>2.96</v>
      </c>
      <c r="I574" s="4">
        <v>0</v>
      </c>
    </row>
    <row r="575" spans="1:9" x14ac:dyDescent="0.2">
      <c r="A575" s="2">
        <v>18</v>
      </c>
      <c r="B575" s="1" t="s">
        <v>127</v>
      </c>
      <c r="C575" s="4">
        <v>25</v>
      </c>
      <c r="D575" s="8">
        <v>1.44</v>
      </c>
      <c r="E575" s="4">
        <v>17</v>
      </c>
      <c r="F575" s="8">
        <v>1.73</v>
      </c>
      <c r="G575" s="4">
        <v>8</v>
      </c>
      <c r="H575" s="8">
        <v>1.08</v>
      </c>
      <c r="I575" s="4">
        <v>0</v>
      </c>
    </row>
    <row r="576" spans="1:9" x14ac:dyDescent="0.2">
      <c r="A576" s="2">
        <v>18</v>
      </c>
      <c r="B576" s="1" t="s">
        <v>142</v>
      </c>
      <c r="C576" s="4">
        <v>25</v>
      </c>
      <c r="D576" s="8">
        <v>1.44</v>
      </c>
      <c r="E576" s="4">
        <v>22</v>
      </c>
      <c r="F576" s="8">
        <v>2.2400000000000002</v>
      </c>
      <c r="G576" s="4">
        <v>3</v>
      </c>
      <c r="H576" s="8">
        <v>0.4</v>
      </c>
      <c r="I576" s="4">
        <v>0</v>
      </c>
    </row>
    <row r="577" spans="1:9" x14ac:dyDescent="0.2">
      <c r="A577" s="2">
        <v>18</v>
      </c>
      <c r="B577" s="1" t="s">
        <v>145</v>
      </c>
      <c r="C577" s="4">
        <v>25</v>
      </c>
      <c r="D577" s="8">
        <v>1.44</v>
      </c>
      <c r="E577" s="4">
        <v>25</v>
      </c>
      <c r="F577" s="8">
        <v>2.54</v>
      </c>
      <c r="G577" s="4">
        <v>0</v>
      </c>
      <c r="H577" s="8">
        <v>0</v>
      </c>
      <c r="I577" s="4">
        <v>0</v>
      </c>
    </row>
    <row r="578" spans="1:9" x14ac:dyDescent="0.2">
      <c r="A578" s="1"/>
      <c r="C578" s="4"/>
      <c r="D578" s="8"/>
      <c r="E578" s="4"/>
      <c r="F578" s="8"/>
      <c r="G578" s="4"/>
      <c r="H578" s="8"/>
      <c r="I578" s="4"/>
    </row>
    <row r="579" spans="1:9" x14ac:dyDescent="0.2">
      <c r="A579" s="1" t="s">
        <v>26</v>
      </c>
      <c r="C579" s="4"/>
      <c r="D579" s="8"/>
      <c r="E579" s="4"/>
      <c r="F579" s="8"/>
      <c r="G579" s="4"/>
      <c r="H579" s="8"/>
      <c r="I579" s="4"/>
    </row>
    <row r="580" spans="1:9" x14ac:dyDescent="0.2">
      <c r="A580" s="2">
        <v>1</v>
      </c>
      <c r="B580" s="1" t="s">
        <v>138</v>
      </c>
      <c r="C580" s="4">
        <v>138</v>
      </c>
      <c r="D580" s="8">
        <v>6.36</v>
      </c>
      <c r="E580" s="4">
        <v>116</v>
      </c>
      <c r="F580" s="8">
        <v>11.14</v>
      </c>
      <c r="G580" s="4">
        <v>22</v>
      </c>
      <c r="H580" s="8">
        <v>1.97</v>
      </c>
      <c r="I580" s="4">
        <v>0</v>
      </c>
    </row>
    <row r="581" spans="1:9" x14ac:dyDescent="0.2">
      <c r="A581" s="2">
        <v>2</v>
      </c>
      <c r="B581" s="1" t="s">
        <v>132</v>
      </c>
      <c r="C581" s="4">
        <v>97</v>
      </c>
      <c r="D581" s="8">
        <v>4.47</v>
      </c>
      <c r="E581" s="4">
        <v>27</v>
      </c>
      <c r="F581" s="8">
        <v>2.59</v>
      </c>
      <c r="G581" s="4">
        <v>70</v>
      </c>
      <c r="H581" s="8">
        <v>6.28</v>
      </c>
      <c r="I581" s="4">
        <v>0</v>
      </c>
    </row>
    <row r="582" spans="1:9" x14ac:dyDescent="0.2">
      <c r="A582" s="2">
        <v>3</v>
      </c>
      <c r="B582" s="1" t="s">
        <v>140</v>
      </c>
      <c r="C582" s="4">
        <v>76</v>
      </c>
      <c r="D582" s="8">
        <v>3.5</v>
      </c>
      <c r="E582" s="4">
        <v>48</v>
      </c>
      <c r="F582" s="8">
        <v>4.6100000000000003</v>
      </c>
      <c r="G582" s="4">
        <v>28</v>
      </c>
      <c r="H582" s="8">
        <v>2.5099999999999998</v>
      </c>
      <c r="I582" s="4">
        <v>0</v>
      </c>
    </row>
    <row r="583" spans="1:9" x14ac:dyDescent="0.2">
      <c r="A583" s="2">
        <v>4</v>
      </c>
      <c r="B583" s="1" t="s">
        <v>131</v>
      </c>
      <c r="C583" s="4">
        <v>59</v>
      </c>
      <c r="D583" s="8">
        <v>2.72</v>
      </c>
      <c r="E583" s="4">
        <v>14</v>
      </c>
      <c r="F583" s="8">
        <v>1.34</v>
      </c>
      <c r="G583" s="4">
        <v>44</v>
      </c>
      <c r="H583" s="8">
        <v>3.95</v>
      </c>
      <c r="I583" s="4">
        <v>1</v>
      </c>
    </row>
    <row r="584" spans="1:9" x14ac:dyDescent="0.2">
      <c r="A584" s="2">
        <v>4</v>
      </c>
      <c r="B584" s="1" t="s">
        <v>141</v>
      </c>
      <c r="C584" s="4">
        <v>59</v>
      </c>
      <c r="D584" s="8">
        <v>2.72</v>
      </c>
      <c r="E584" s="4">
        <v>47</v>
      </c>
      <c r="F584" s="8">
        <v>4.51</v>
      </c>
      <c r="G584" s="4">
        <v>11</v>
      </c>
      <c r="H584" s="8">
        <v>0.99</v>
      </c>
      <c r="I584" s="4">
        <v>1</v>
      </c>
    </row>
    <row r="585" spans="1:9" x14ac:dyDescent="0.2">
      <c r="A585" s="2">
        <v>6</v>
      </c>
      <c r="B585" s="1" t="s">
        <v>122</v>
      </c>
      <c r="C585" s="4">
        <v>58</v>
      </c>
      <c r="D585" s="8">
        <v>2.67</v>
      </c>
      <c r="E585" s="4">
        <v>7</v>
      </c>
      <c r="F585" s="8">
        <v>0.67</v>
      </c>
      <c r="G585" s="4">
        <v>51</v>
      </c>
      <c r="H585" s="8">
        <v>4.57</v>
      </c>
      <c r="I585" s="4">
        <v>0</v>
      </c>
    </row>
    <row r="586" spans="1:9" x14ac:dyDescent="0.2">
      <c r="A586" s="2">
        <v>7</v>
      </c>
      <c r="B586" s="1" t="s">
        <v>127</v>
      </c>
      <c r="C586" s="4">
        <v>49</v>
      </c>
      <c r="D586" s="8">
        <v>2.2599999999999998</v>
      </c>
      <c r="E586" s="4">
        <v>24</v>
      </c>
      <c r="F586" s="8">
        <v>2.31</v>
      </c>
      <c r="G586" s="4">
        <v>25</v>
      </c>
      <c r="H586" s="8">
        <v>2.2400000000000002</v>
      </c>
      <c r="I586" s="4">
        <v>0</v>
      </c>
    </row>
    <row r="587" spans="1:9" x14ac:dyDescent="0.2">
      <c r="A587" s="2">
        <v>8</v>
      </c>
      <c r="B587" s="1" t="s">
        <v>134</v>
      </c>
      <c r="C587" s="4">
        <v>46</v>
      </c>
      <c r="D587" s="8">
        <v>2.12</v>
      </c>
      <c r="E587" s="4">
        <v>41</v>
      </c>
      <c r="F587" s="8">
        <v>3.94</v>
      </c>
      <c r="G587" s="4">
        <v>5</v>
      </c>
      <c r="H587" s="8">
        <v>0.45</v>
      </c>
      <c r="I587" s="4">
        <v>0</v>
      </c>
    </row>
    <row r="588" spans="1:9" x14ac:dyDescent="0.2">
      <c r="A588" s="2">
        <v>8</v>
      </c>
      <c r="B588" s="1" t="s">
        <v>136</v>
      </c>
      <c r="C588" s="4">
        <v>46</v>
      </c>
      <c r="D588" s="8">
        <v>2.12</v>
      </c>
      <c r="E588" s="4">
        <v>42</v>
      </c>
      <c r="F588" s="8">
        <v>4.03</v>
      </c>
      <c r="G588" s="4">
        <v>4</v>
      </c>
      <c r="H588" s="8">
        <v>0.36</v>
      </c>
      <c r="I588" s="4">
        <v>0</v>
      </c>
    </row>
    <row r="589" spans="1:9" x14ac:dyDescent="0.2">
      <c r="A589" s="2">
        <v>10</v>
      </c>
      <c r="B589" s="1" t="s">
        <v>133</v>
      </c>
      <c r="C589" s="4">
        <v>45</v>
      </c>
      <c r="D589" s="8">
        <v>2.0699999999999998</v>
      </c>
      <c r="E589" s="4">
        <v>36</v>
      </c>
      <c r="F589" s="8">
        <v>3.46</v>
      </c>
      <c r="G589" s="4">
        <v>9</v>
      </c>
      <c r="H589" s="8">
        <v>0.81</v>
      </c>
      <c r="I589" s="4">
        <v>0</v>
      </c>
    </row>
    <row r="590" spans="1:9" x14ac:dyDescent="0.2">
      <c r="A590" s="2">
        <v>11</v>
      </c>
      <c r="B590" s="1" t="s">
        <v>129</v>
      </c>
      <c r="C590" s="4">
        <v>44</v>
      </c>
      <c r="D590" s="8">
        <v>2.0299999999999998</v>
      </c>
      <c r="E590" s="4">
        <v>33</v>
      </c>
      <c r="F590" s="8">
        <v>3.17</v>
      </c>
      <c r="G590" s="4">
        <v>11</v>
      </c>
      <c r="H590" s="8">
        <v>0.99</v>
      </c>
      <c r="I590" s="4">
        <v>0</v>
      </c>
    </row>
    <row r="591" spans="1:9" x14ac:dyDescent="0.2">
      <c r="A591" s="2">
        <v>12</v>
      </c>
      <c r="B591" s="1" t="s">
        <v>143</v>
      </c>
      <c r="C591" s="4">
        <v>43</v>
      </c>
      <c r="D591" s="8">
        <v>1.98</v>
      </c>
      <c r="E591" s="4">
        <v>2</v>
      </c>
      <c r="F591" s="8">
        <v>0.19</v>
      </c>
      <c r="G591" s="4">
        <v>41</v>
      </c>
      <c r="H591" s="8">
        <v>3.68</v>
      </c>
      <c r="I591" s="4">
        <v>0</v>
      </c>
    </row>
    <row r="592" spans="1:9" x14ac:dyDescent="0.2">
      <c r="A592" s="2">
        <v>13</v>
      </c>
      <c r="B592" s="1" t="s">
        <v>135</v>
      </c>
      <c r="C592" s="4">
        <v>42</v>
      </c>
      <c r="D592" s="8">
        <v>1.94</v>
      </c>
      <c r="E592" s="4">
        <v>42</v>
      </c>
      <c r="F592" s="8">
        <v>4.03</v>
      </c>
      <c r="G592" s="4">
        <v>0</v>
      </c>
      <c r="H592" s="8">
        <v>0</v>
      </c>
      <c r="I592" s="4">
        <v>0</v>
      </c>
    </row>
    <row r="593" spans="1:9" x14ac:dyDescent="0.2">
      <c r="A593" s="2">
        <v>14</v>
      </c>
      <c r="B593" s="1" t="s">
        <v>146</v>
      </c>
      <c r="C593" s="4">
        <v>41</v>
      </c>
      <c r="D593" s="8">
        <v>1.89</v>
      </c>
      <c r="E593" s="4">
        <v>22</v>
      </c>
      <c r="F593" s="8">
        <v>2.11</v>
      </c>
      <c r="G593" s="4">
        <v>19</v>
      </c>
      <c r="H593" s="8">
        <v>1.7</v>
      </c>
      <c r="I593" s="4">
        <v>0</v>
      </c>
    </row>
    <row r="594" spans="1:9" x14ac:dyDescent="0.2">
      <c r="A594" s="2">
        <v>15</v>
      </c>
      <c r="B594" s="1" t="s">
        <v>137</v>
      </c>
      <c r="C594" s="4">
        <v>40</v>
      </c>
      <c r="D594" s="8">
        <v>1.84</v>
      </c>
      <c r="E594" s="4">
        <v>39</v>
      </c>
      <c r="F594" s="8">
        <v>3.75</v>
      </c>
      <c r="G594" s="4">
        <v>1</v>
      </c>
      <c r="H594" s="8">
        <v>0.09</v>
      </c>
      <c r="I594" s="4">
        <v>0</v>
      </c>
    </row>
    <row r="595" spans="1:9" x14ac:dyDescent="0.2">
      <c r="A595" s="2">
        <v>16</v>
      </c>
      <c r="B595" s="1" t="s">
        <v>139</v>
      </c>
      <c r="C595" s="4">
        <v>34</v>
      </c>
      <c r="D595" s="8">
        <v>1.57</v>
      </c>
      <c r="E595" s="4">
        <v>28</v>
      </c>
      <c r="F595" s="8">
        <v>2.69</v>
      </c>
      <c r="G595" s="4">
        <v>6</v>
      </c>
      <c r="H595" s="8">
        <v>0.54</v>
      </c>
      <c r="I595" s="4">
        <v>0</v>
      </c>
    </row>
    <row r="596" spans="1:9" x14ac:dyDescent="0.2">
      <c r="A596" s="2">
        <v>17</v>
      </c>
      <c r="B596" s="1" t="s">
        <v>176</v>
      </c>
      <c r="C596" s="4">
        <v>33</v>
      </c>
      <c r="D596" s="8">
        <v>1.52</v>
      </c>
      <c r="E596" s="4">
        <v>23</v>
      </c>
      <c r="F596" s="8">
        <v>2.21</v>
      </c>
      <c r="G596" s="4">
        <v>10</v>
      </c>
      <c r="H596" s="8">
        <v>0.9</v>
      </c>
      <c r="I596" s="4">
        <v>0</v>
      </c>
    </row>
    <row r="597" spans="1:9" x14ac:dyDescent="0.2">
      <c r="A597" s="2">
        <v>18</v>
      </c>
      <c r="B597" s="1" t="s">
        <v>159</v>
      </c>
      <c r="C597" s="4">
        <v>31</v>
      </c>
      <c r="D597" s="8">
        <v>1.43</v>
      </c>
      <c r="E597" s="4">
        <v>6</v>
      </c>
      <c r="F597" s="8">
        <v>0.57999999999999996</v>
      </c>
      <c r="G597" s="4">
        <v>25</v>
      </c>
      <c r="H597" s="8">
        <v>2.2400000000000002</v>
      </c>
      <c r="I597" s="4">
        <v>0</v>
      </c>
    </row>
    <row r="598" spans="1:9" x14ac:dyDescent="0.2">
      <c r="A598" s="2">
        <v>19</v>
      </c>
      <c r="B598" s="1" t="s">
        <v>125</v>
      </c>
      <c r="C598" s="4">
        <v>26</v>
      </c>
      <c r="D598" s="8">
        <v>1.2</v>
      </c>
      <c r="E598" s="4">
        <v>10</v>
      </c>
      <c r="F598" s="8">
        <v>0.96</v>
      </c>
      <c r="G598" s="4">
        <v>16</v>
      </c>
      <c r="H598" s="8">
        <v>1.43</v>
      </c>
      <c r="I598" s="4">
        <v>0</v>
      </c>
    </row>
    <row r="599" spans="1:9" x14ac:dyDescent="0.2">
      <c r="A599" s="2">
        <v>19</v>
      </c>
      <c r="B599" s="1" t="s">
        <v>126</v>
      </c>
      <c r="C599" s="4">
        <v>26</v>
      </c>
      <c r="D599" s="8">
        <v>1.2</v>
      </c>
      <c r="E599" s="4">
        <v>16</v>
      </c>
      <c r="F599" s="8">
        <v>1.54</v>
      </c>
      <c r="G599" s="4">
        <v>10</v>
      </c>
      <c r="H599" s="8">
        <v>0.9</v>
      </c>
      <c r="I599" s="4">
        <v>0</v>
      </c>
    </row>
    <row r="600" spans="1:9" x14ac:dyDescent="0.2">
      <c r="A600" s="1"/>
      <c r="C600" s="4"/>
      <c r="D600" s="8"/>
      <c r="E600" s="4"/>
      <c r="F600" s="8"/>
      <c r="G600" s="4"/>
      <c r="H600" s="8"/>
      <c r="I600" s="4"/>
    </row>
    <row r="601" spans="1:9" x14ac:dyDescent="0.2">
      <c r="A601" s="1" t="s">
        <v>27</v>
      </c>
      <c r="C601" s="4"/>
      <c r="D601" s="8"/>
      <c r="E601" s="4"/>
      <c r="F601" s="8"/>
      <c r="G601" s="4"/>
      <c r="H601" s="8"/>
      <c r="I601" s="4"/>
    </row>
    <row r="602" spans="1:9" x14ac:dyDescent="0.2">
      <c r="A602" s="2">
        <v>1</v>
      </c>
      <c r="B602" s="1" t="s">
        <v>178</v>
      </c>
      <c r="C602" s="4">
        <v>71</v>
      </c>
      <c r="D602" s="8">
        <v>6.01</v>
      </c>
      <c r="E602" s="4">
        <v>56</v>
      </c>
      <c r="F602" s="8">
        <v>7.91</v>
      </c>
      <c r="G602" s="4">
        <v>15</v>
      </c>
      <c r="H602" s="8">
        <v>3.28</v>
      </c>
      <c r="I602" s="4">
        <v>0</v>
      </c>
    </row>
    <row r="603" spans="1:9" x14ac:dyDescent="0.2">
      <c r="A603" s="2">
        <v>2</v>
      </c>
      <c r="B603" s="1" t="s">
        <v>138</v>
      </c>
      <c r="C603" s="4">
        <v>44</v>
      </c>
      <c r="D603" s="8">
        <v>3.73</v>
      </c>
      <c r="E603" s="4">
        <v>40</v>
      </c>
      <c r="F603" s="8">
        <v>5.65</v>
      </c>
      <c r="G603" s="4">
        <v>4</v>
      </c>
      <c r="H603" s="8">
        <v>0.87</v>
      </c>
      <c r="I603" s="4">
        <v>0</v>
      </c>
    </row>
    <row r="604" spans="1:9" x14ac:dyDescent="0.2">
      <c r="A604" s="2">
        <v>3</v>
      </c>
      <c r="B604" s="1" t="s">
        <v>127</v>
      </c>
      <c r="C604" s="4">
        <v>36</v>
      </c>
      <c r="D604" s="8">
        <v>3.05</v>
      </c>
      <c r="E604" s="4">
        <v>25</v>
      </c>
      <c r="F604" s="8">
        <v>3.53</v>
      </c>
      <c r="G604" s="4">
        <v>11</v>
      </c>
      <c r="H604" s="8">
        <v>2.4</v>
      </c>
      <c r="I604" s="4">
        <v>0</v>
      </c>
    </row>
    <row r="605" spans="1:9" x14ac:dyDescent="0.2">
      <c r="A605" s="2">
        <v>3</v>
      </c>
      <c r="B605" s="1" t="s">
        <v>132</v>
      </c>
      <c r="C605" s="4">
        <v>36</v>
      </c>
      <c r="D605" s="8">
        <v>3.05</v>
      </c>
      <c r="E605" s="4">
        <v>19</v>
      </c>
      <c r="F605" s="8">
        <v>2.68</v>
      </c>
      <c r="G605" s="4">
        <v>17</v>
      </c>
      <c r="H605" s="8">
        <v>3.71</v>
      </c>
      <c r="I605" s="4">
        <v>0</v>
      </c>
    </row>
    <row r="606" spans="1:9" x14ac:dyDescent="0.2">
      <c r="A606" s="2">
        <v>5</v>
      </c>
      <c r="B606" s="1" t="s">
        <v>135</v>
      </c>
      <c r="C606" s="4">
        <v>31</v>
      </c>
      <c r="D606" s="8">
        <v>2.62</v>
      </c>
      <c r="E606" s="4">
        <v>31</v>
      </c>
      <c r="F606" s="8">
        <v>4.38</v>
      </c>
      <c r="G606" s="4">
        <v>0</v>
      </c>
      <c r="H606" s="8">
        <v>0</v>
      </c>
      <c r="I606" s="4">
        <v>0</v>
      </c>
    </row>
    <row r="607" spans="1:9" x14ac:dyDescent="0.2">
      <c r="A607" s="2">
        <v>6</v>
      </c>
      <c r="B607" s="1" t="s">
        <v>160</v>
      </c>
      <c r="C607" s="4">
        <v>29</v>
      </c>
      <c r="D607" s="8">
        <v>2.46</v>
      </c>
      <c r="E607" s="4">
        <v>13</v>
      </c>
      <c r="F607" s="8">
        <v>1.84</v>
      </c>
      <c r="G607" s="4">
        <v>15</v>
      </c>
      <c r="H607" s="8">
        <v>3.28</v>
      </c>
      <c r="I607" s="4">
        <v>1</v>
      </c>
    </row>
    <row r="608" spans="1:9" x14ac:dyDescent="0.2">
      <c r="A608" s="2">
        <v>7</v>
      </c>
      <c r="B608" s="1" t="s">
        <v>136</v>
      </c>
      <c r="C608" s="4">
        <v>26</v>
      </c>
      <c r="D608" s="8">
        <v>2.2000000000000002</v>
      </c>
      <c r="E608" s="4">
        <v>24</v>
      </c>
      <c r="F608" s="8">
        <v>3.39</v>
      </c>
      <c r="G608" s="4">
        <v>1</v>
      </c>
      <c r="H608" s="8">
        <v>0.22</v>
      </c>
      <c r="I608" s="4">
        <v>1</v>
      </c>
    </row>
    <row r="609" spans="1:9" x14ac:dyDescent="0.2">
      <c r="A609" s="2">
        <v>8</v>
      </c>
      <c r="B609" s="1" t="s">
        <v>122</v>
      </c>
      <c r="C609" s="4">
        <v>25</v>
      </c>
      <c r="D609" s="8">
        <v>2.12</v>
      </c>
      <c r="E609" s="4">
        <v>5</v>
      </c>
      <c r="F609" s="8">
        <v>0.71</v>
      </c>
      <c r="G609" s="4">
        <v>20</v>
      </c>
      <c r="H609" s="8">
        <v>4.37</v>
      </c>
      <c r="I609" s="4">
        <v>0</v>
      </c>
    </row>
    <row r="610" spans="1:9" x14ac:dyDescent="0.2">
      <c r="A610" s="2">
        <v>8</v>
      </c>
      <c r="B610" s="1" t="s">
        <v>137</v>
      </c>
      <c r="C610" s="4">
        <v>25</v>
      </c>
      <c r="D610" s="8">
        <v>2.12</v>
      </c>
      <c r="E610" s="4">
        <v>24</v>
      </c>
      <c r="F610" s="8">
        <v>3.39</v>
      </c>
      <c r="G610" s="4">
        <v>1</v>
      </c>
      <c r="H610" s="8">
        <v>0.22</v>
      </c>
      <c r="I610" s="4">
        <v>0</v>
      </c>
    </row>
    <row r="611" spans="1:9" x14ac:dyDescent="0.2">
      <c r="A611" s="2">
        <v>10</v>
      </c>
      <c r="B611" s="1" t="s">
        <v>169</v>
      </c>
      <c r="C611" s="4">
        <v>22</v>
      </c>
      <c r="D611" s="8">
        <v>1.86</v>
      </c>
      <c r="E611" s="4">
        <v>12</v>
      </c>
      <c r="F611" s="8">
        <v>1.69</v>
      </c>
      <c r="G611" s="4">
        <v>10</v>
      </c>
      <c r="H611" s="8">
        <v>2.1800000000000002</v>
      </c>
      <c r="I611" s="4">
        <v>0</v>
      </c>
    </row>
    <row r="612" spans="1:9" x14ac:dyDescent="0.2">
      <c r="A612" s="2">
        <v>11</v>
      </c>
      <c r="B612" s="1" t="s">
        <v>140</v>
      </c>
      <c r="C612" s="4">
        <v>20</v>
      </c>
      <c r="D612" s="8">
        <v>1.69</v>
      </c>
      <c r="E612" s="4">
        <v>16</v>
      </c>
      <c r="F612" s="8">
        <v>2.2599999999999998</v>
      </c>
      <c r="G612" s="4">
        <v>3</v>
      </c>
      <c r="H612" s="8">
        <v>0.66</v>
      </c>
      <c r="I612" s="4">
        <v>0</v>
      </c>
    </row>
    <row r="613" spans="1:9" x14ac:dyDescent="0.2">
      <c r="A613" s="2">
        <v>12</v>
      </c>
      <c r="B613" s="1" t="s">
        <v>128</v>
      </c>
      <c r="C613" s="4">
        <v>19</v>
      </c>
      <c r="D613" s="8">
        <v>1.61</v>
      </c>
      <c r="E613" s="4">
        <v>9</v>
      </c>
      <c r="F613" s="8">
        <v>1.27</v>
      </c>
      <c r="G613" s="4">
        <v>10</v>
      </c>
      <c r="H613" s="8">
        <v>2.1800000000000002</v>
      </c>
      <c r="I613" s="4">
        <v>0</v>
      </c>
    </row>
    <row r="614" spans="1:9" x14ac:dyDescent="0.2">
      <c r="A614" s="2">
        <v>12</v>
      </c>
      <c r="B614" s="1" t="s">
        <v>129</v>
      </c>
      <c r="C614" s="4">
        <v>19</v>
      </c>
      <c r="D614" s="8">
        <v>1.61</v>
      </c>
      <c r="E614" s="4">
        <v>14</v>
      </c>
      <c r="F614" s="8">
        <v>1.98</v>
      </c>
      <c r="G614" s="4">
        <v>5</v>
      </c>
      <c r="H614" s="8">
        <v>1.0900000000000001</v>
      </c>
      <c r="I614" s="4">
        <v>0</v>
      </c>
    </row>
    <row r="615" spans="1:9" x14ac:dyDescent="0.2">
      <c r="A615" s="2">
        <v>12</v>
      </c>
      <c r="B615" s="1" t="s">
        <v>133</v>
      </c>
      <c r="C615" s="4">
        <v>19</v>
      </c>
      <c r="D615" s="8">
        <v>1.61</v>
      </c>
      <c r="E615" s="4">
        <v>17</v>
      </c>
      <c r="F615" s="8">
        <v>2.4</v>
      </c>
      <c r="G615" s="4">
        <v>2</v>
      </c>
      <c r="H615" s="8">
        <v>0.44</v>
      </c>
      <c r="I615" s="4">
        <v>0</v>
      </c>
    </row>
    <row r="616" spans="1:9" x14ac:dyDescent="0.2">
      <c r="A616" s="2">
        <v>12</v>
      </c>
      <c r="B616" s="1" t="s">
        <v>141</v>
      </c>
      <c r="C616" s="4">
        <v>19</v>
      </c>
      <c r="D616" s="8">
        <v>1.61</v>
      </c>
      <c r="E616" s="4">
        <v>18</v>
      </c>
      <c r="F616" s="8">
        <v>2.54</v>
      </c>
      <c r="G616" s="4">
        <v>1</v>
      </c>
      <c r="H616" s="8">
        <v>0.22</v>
      </c>
      <c r="I616" s="4">
        <v>0</v>
      </c>
    </row>
    <row r="617" spans="1:9" x14ac:dyDescent="0.2">
      <c r="A617" s="2">
        <v>16</v>
      </c>
      <c r="B617" s="1" t="s">
        <v>144</v>
      </c>
      <c r="C617" s="4">
        <v>17</v>
      </c>
      <c r="D617" s="8">
        <v>1.44</v>
      </c>
      <c r="E617" s="4">
        <v>12</v>
      </c>
      <c r="F617" s="8">
        <v>1.69</v>
      </c>
      <c r="G617" s="4">
        <v>4</v>
      </c>
      <c r="H617" s="8">
        <v>0.87</v>
      </c>
      <c r="I617" s="4">
        <v>0</v>
      </c>
    </row>
    <row r="618" spans="1:9" x14ac:dyDescent="0.2">
      <c r="A618" s="2">
        <v>17</v>
      </c>
      <c r="B618" s="1" t="s">
        <v>123</v>
      </c>
      <c r="C618" s="4">
        <v>14</v>
      </c>
      <c r="D618" s="8">
        <v>1.19</v>
      </c>
      <c r="E618" s="4">
        <v>6</v>
      </c>
      <c r="F618" s="8">
        <v>0.85</v>
      </c>
      <c r="G618" s="4">
        <v>8</v>
      </c>
      <c r="H618" s="8">
        <v>1.75</v>
      </c>
      <c r="I618" s="4">
        <v>0</v>
      </c>
    </row>
    <row r="619" spans="1:9" x14ac:dyDescent="0.2">
      <c r="A619" s="2">
        <v>17</v>
      </c>
      <c r="B619" s="1" t="s">
        <v>124</v>
      </c>
      <c r="C619" s="4">
        <v>14</v>
      </c>
      <c r="D619" s="8">
        <v>1.19</v>
      </c>
      <c r="E619" s="4">
        <v>9</v>
      </c>
      <c r="F619" s="8">
        <v>1.27</v>
      </c>
      <c r="G619" s="4">
        <v>5</v>
      </c>
      <c r="H619" s="8">
        <v>1.0900000000000001</v>
      </c>
      <c r="I619" s="4">
        <v>0</v>
      </c>
    </row>
    <row r="620" spans="1:9" x14ac:dyDescent="0.2">
      <c r="A620" s="2">
        <v>17</v>
      </c>
      <c r="B620" s="1" t="s">
        <v>164</v>
      </c>
      <c r="C620" s="4">
        <v>14</v>
      </c>
      <c r="D620" s="8">
        <v>1.19</v>
      </c>
      <c r="E620" s="4">
        <v>10</v>
      </c>
      <c r="F620" s="8">
        <v>1.41</v>
      </c>
      <c r="G620" s="4">
        <v>4</v>
      </c>
      <c r="H620" s="8">
        <v>0.87</v>
      </c>
      <c r="I620" s="4">
        <v>0</v>
      </c>
    </row>
    <row r="621" spans="1:9" x14ac:dyDescent="0.2">
      <c r="A621" s="2">
        <v>17</v>
      </c>
      <c r="B621" s="1" t="s">
        <v>179</v>
      </c>
      <c r="C621" s="4">
        <v>14</v>
      </c>
      <c r="D621" s="8">
        <v>1.19</v>
      </c>
      <c r="E621" s="4">
        <v>13</v>
      </c>
      <c r="F621" s="8">
        <v>1.84</v>
      </c>
      <c r="G621" s="4">
        <v>1</v>
      </c>
      <c r="H621" s="8">
        <v>0.22</v>
      </c>
      <c r="I621" s="4">
        <v>0</v>
      </c>
    </row>
    <row r="622" spans="1:9" x14ac:dyDescent="0.2">
      <c r="A622" s="2">
        <v>17</v>
      </c>
      <c r="B622" s="1" t="s">
        <v>134</v>
      </c>
      <c r="C622" s="4">
        <v>14</v>
      </c>
      <c r="D622" s="8">
        <v>1.19</v>
      </c>
      <c r="E622" s="4">
        <v>13</v>
      </c>
      <c r="F622" s="8">
        <v>1.84</v>
      </c>
      <c r="G622" s="4">
        <v>1</v>
      </c>
      <c r="H622" s="8">
        <v>0.22</v>
      </c>
      <c r="I622" s="4">
        <v>0</v>
      </c>
    </row>
    <row r="623" spans="1:9" x14ac:dyDescent="0.2">
      <c r="A623" s="1"/>
      <c r="C623" s="4"/>
      <c r="D623" s="8"/>
      <c r="E623" s="4"/>
      <c r="F623" s="8"/>
      <c r="G623" s="4"/>
      <c r="H623" s="8"/>
      <c r="I623" s="4"/>
    </row>
    <row r="624" spans="1:9" x14ac:dyDescent="0.2">
      <c r="A624" s="1" t="s">
        <v>28</v>
      </c>
      <c r="C624" s="4"/>
      <c r="D624" s="8"/>
      <c r="E624" s="4"/>
      <c r="F624" s="8"/>
      <c r="G624" s="4"/>
      <c r="H624" s="8"/>
      <c r="I624" s="4"/>
    </row>
    <row r="625" spans="1:9" x14ac:dyDescent="0.2">
      <c r="A625" s="2">
        <v>1</v>
      </c>
      <c r="B625" s="1" t="s">
        <v>138</v>
      </c>
      <c r="C625" s="4">
        <v>70</v>
      </c>
      <c r="D625" s="8">
        <v>5.35</v>
      </c>
      <c r="E625" s="4">
        <v>57</v>
      </c>
      <c r="F625" s="8">
        <v>10.48</v>
      </c>
      <c r="G625" s="4">
        <v>13</v>
      </c>
      <c r="H625" s="8">
        <v>1.7</v>
      </c>
      <c r="I625" s="4">
        <v>0</v>
      </c>
    </row>
    <row r="626" spans="1:9" x14ac:dyDescent="0.2">
      <c r="A626" s="2">
        <v>2</v>
      </c>
      <c r="B626" s="1" t="s">
        <v>122</v>
      </c>
      <c r="C626" s="4">
        <v>52</v>
      </c>
      <c r="D626" s="8">
        <v>3.98</v>
      </c>
      <c r="E626" s="4">
        <v>2</v>
      </c>
      <c r="F626" s="8">
        <v>0.37</v>
      </c>
      <c r="G626" s="4">
        <v>50</v>
      </c>
      <c r="H626" s="8">
        <v>6.55</v>
      </c>
      <c r="I626" s="4">
        <v>0</v>
      </c>
    </row>
    <row r="627" spans="1:9" x14ac:dyDescent="0.2">
      <c r="A627" s="2">
        <v>3</v>
      </c>
      <c r="B627" s="1" t="s">
        <v>132</v>
      </c>
      <c r="C627" s="4">
        <v>51</v>
      </c>
      <c r="D627" s="8">
        <v>3.9</v>
      </c>
      <c r="E627" s="4">
        <v>2</v>
      </c>
      <c r="F627" s="8">
        <v>0.37</v>
      </c>
      <c r="G627" s="4">
        <v>49</v>
      </c>
      <c r="H627" s="8">
        <v>6.42</v>
      </c>
      <c r="I627" s="4">
        <v>0</v>
      </c>
    </row>
    <row r="628" spans="1:9" x14ac:dyDescent="0.2">
      <c r="A628" s="2">
        <v>4</v>
      </c>
      <c r="B628" s="1" t="s">
        <v>133</v>
      </c>
      <c r="C628" s="4">
        <v>40</v>
      </c>
      <c r="D628" s="8">
        <v>3.06</v>
      </c>
      <c r="E628" s="4">
        <v>31</v>
      </c>
      <c r="F628" s="8">
        <v>5.7</v>
      </c>
      <c r="G628" s="4">
        <v>9</v>
      </c>
      <c r="H628" s="8">
        <v>1.18</v>
      </c>
      <c r="I628" s="4">
        <v>0</v>
      </c>
    </row>
    <row r="629" spans="1:9" x14ac:dyDescent="0.2">
      <c r="A629" s="2">
        <v>5</v>
      </c>
      <c r="B629" s="1" t="s">
        <v>129</v>
      </c>
      <c r="C629" s="4">
        <v>35</v>
      </c>
      <c r="D629" s="8">
        <v>2.68</v>
      </c>
      <c r="E629" s="4">
        <v>22</v>
      </c>
      <c r="F629" s="8">
        <v>4.04</v>
      </c>
      <c r="G629" s="4">
        <v>13</v>
      </c>
      <c r="H629" s="8">
        <v>1.7</v>
      </c>
      <c r="I629" s="4">
        <v>0</v>
      </c>
    </row>
    <row r="630" spans="1:9" x14ac:dyDescent="0.2">
      <c r="A630" s="2">
        <v>5</v>
      </c>
      <c r="B630" s="1" t="s">
        <v>131</v>
      </c>
      <c r="C630" s="4">
        <v>35</v>
      </c>
      <c r="D630" s="8">
        <v>2.68</v>
      </c>
      <c r="E630" s="4">
        <v>1</v>
      </c>
      <c r="F630" s="8">
        <v>0.18</v>
      </c>
      <c r="G630" s="4">
        <v>34</v>
      </c>
      <c r="H630" s="8">
        <v>4.46</v>
      </c>
      <c r="I630" s="4">
        <v>0</v>
      </c>
    </row>
    <row r="631" spans="1:9" x14ac:dyDescent="0.2">
      <c r="A631" s="2">
        <v>7</v>
      </c>
      <c r="B631" s="1" t="s">
        <v>141</v>
      </c>
      <c r="C631" s="4">
        <v>30</v>
      </c>
      <c r="D631" s="8">
        <v>2.29</v>
      </c>
      <c r="E631" s="4">
        <v>25</v>
      </c>
      <c r="F631" s="8">
        <v>4.5999999999999996</v>
      </c>
      <c r="G631" s="4">
        <v>5</v>
      </c>
      <c r="H631" s="8">
        <v>0.66</v>
      </c>
      <c r="I631" s="4">
        <v>0</v>
      </c>
    </row>
    <row r="632" spans="1:9" x14ac:dyDescent="0.2">
      <c r="A632" s="2">
        <v>8</v>
      </c>
      <c r="B632" s="1" t="s">
        <v>137</v>
      </c>
      <c r="C632" s="4">
        <v>29</v>
      </c>
      <c r="D632" s="8">
        <v>2.2200000000000002</v>
      </c>
      <c r="E632" s="4">
        <v>25</v>
      </c>
      <c r="F632" s="8">
        <v>4.5999999999999996</v>
      </c>
      <c r="G632" s="4">
        <v>4</v>
      </c>
      <c r="H632" s="8">
        <v>0.52</v>
      </c>
      <c r="I632" s="4">
        <v>0</v>
      </c>
    </row>
    <row r="633" spans="1:9" x14ac:dyDescent="0.2">
      <c r="A633" s="2">
        <v>9</v>
      </c>
      <c r="B633" s="1" t="s">
        <v>127</v>
      </c>
      <c r="C633" s="4">
        <v>27</v>
      </c>
      <c r="D633" s="8">
        <v>2.06</v>
      </c>
      <c r="E633" s="4">
        <v>16</v>
      </c>
      <c r="F633" s="8">
        <v>2.94</v>
      </c>
      <c r="G633" s="4">
        <v>11</v>
      </c>
      <c r="H633" s="8">
        <v>1.44</v>
      </c>
      <c r="I633" s="4">
        <v>0</v>
      </c>
    </row>
    <row r="634" spans="1:9" x14ac:dyDescent="0.2">
      <c r="A634" s="2">
        <v>9</v>
      </c>
      <c r="B634" s="1" t="s">
        <v>140</v>
      </c>
      <c r="C634" s="4">
        <v>27</v>
      </c>
      <c r="D634" s="8">
        <v>2.06</v>
      </c>
      <c r="E634" s="4">
        <v>18</v>
      </c>
      <c r="F634" s="8">
        <v>3.31</v>
      </c>
      <c r="G634" s="4">
        <v>9</v>
      </c>
      <c r="H634" s="8">
        <v>1.18</v>
      </c>
      <c r="I634" s="4">
        <v>0</v>
      </c>
    </row>
    <row r="635" spans="1:9" x14ac:dyDescent="0.2">
      <c r="A635" s="2">
        <v>11</v>
      </c>
      <c r="B635" s="1" t="s">
        <v>126</v>
      </c>
      <c r="C635" s="4">
        <v>23</v>
      </c>
      <c r="D635" s="8">
        <v>1.76</v>
      </c>
      <c r="E635" s="4">
        <v>16</v>
      </c>
      <c r="F635" s="8">
        <v>2.94</v>
      </c>
      <c r="G635" s="4">
        <v>7</v>
      </c>
      <c r="H635" s="8">
        <v>0.92</v>
      </c>
      <c r="I635" s="4">
        <v>0</v>
      </c>
    </row>
    <row r="636" spans="1:9" x14ac:dyDescent="0.2">
      <c r="A636" s="2">
        <v>11</v>
      </c>
      <c r="B636" s="1" t="s">
        <v>136</v>
      </c>
      <c r="C636" s="4">
        <v>23</v>
      </c>
      <c r="D636" s="8">
        <v>1.76</v>
      </c>
      <c r="E636" s="4">
        <v>18</v>
      </c>
      <c r="F636" s="8">
        <v>3.31</v>
      </c>
      <c r="G636" s="4">
        <v>5</v>
      </c>
      <c r="H636" s="8">
        <v>0.66</v>
      </c>
      <c r="I636" s="4">
        <v>0</v>
      </c>
    </row>
    <row r="637" spans="1:9" x14ac:dyDescent="0.2">
      <c r="A637" s="2">
        <v>13</v>
      </c>
      <c r="B637" s="1" t="s">
        <v>144</v>
      </c>
      <c r="C637" s="4">
        <v>22</v>
      </c>
      <c r="D637" s="8">
        <v>1.68</v>
      </c>
      <c r="E637" s="4">
        <v>4</v>
      </c>
      <c r="F637" s="8">
        <v>0.74</v>
      </c>
      <c r="G637" s="4">
        <v>18</v>
      </c>
      <c r="H637" s="8">
        <v>2.36</v>
      </c>
      <c r="I637" s="4">
        <v>0</v>
      </c>
    </row>
    <row r="638" spans="1:9" x14ac:dyDescent="0.2">
      <c r="A638" s="2">
        <v>14</v>
      </c>
      <c r="B638" s="1" t="s">
        <v>146</v>
      </c>
      <c r="C638" s="4">
        <v>21</v>
      </c>
      <c r="D638" s="8">
        <v>1.61</v>
      </c>
      <c r="E638" s="4">
        <v>8</v>
      </c>
      <c r="F638" s="8">
        <v>1.47</v>
      </c>
      <c r="G638" s="4">
        <v>13</v>
      </c>
      <c r="H638" s="8">
        <v>1.7</v>
      </c>
      <c r="I638" s="4">
        <v>0</v>
      </c>
    </row>
    <row r="639" spans="1:9" x14ac:dyDescent="0.2">
      <c r="A639" s="2">
        <v>15</v>
      </c>
      <c r="B639" s="1" t="s">
        <v>139</v>
      </c>
      <c r="C639" s="4">
        <v>20</v>
      </c>
      <c r="D639" s="8">
        <v>1.53</v>
      </c>
      <c r="E639" s="4">
        <v>15</v>
      </c>
      <c r="F639" s="8">
        <v>2.76</v>
      </c>
      <c r="G639" s="4">
        <v>5</v>
      </c>
      <c r="H639" s="8">
        <v>0.66</v>
      </c>
      <c r="I639" s="4">
        <v>0</v>
      </c>
    </row>
    <row r="640" spans="1:9" x14ac:dyDescent="0.2">
      <c r="A640" s="2">
        <v>16</v>
      </c>
      <c r="B640" s="1" t="s">
        <v>150</v>
      </c>
      <c r="C640" s="4">
        <v>19</v>
      </c>
      <c r="D640" s="8">
        <v>1.45</v>
      </c>
      <c r="E640" s="4">
        <v>4</v>
      </c>
      <c r="F640" s="8">
        <v>0.74</v>
      </c>
      <c r="G640" s="4">
        <v>15</v>
      </c>
      <c r="H640" s="8">
        <v>1.97</v>
      </c>
      <c r="I640" s="4">
        <v>0</v>
      </c>
    </row>
    <row r="641" spans="1:9" x14ac:dyDescent="0.2">
      <c r="A641" s="2">
        <v>17</v>
      </c>
      <c r="B641" s="1" t="s">
        <v>165</v>
      </c>
      <c r="C641" s="4">
        <v>17</v>
      </c>
      <c r="D641" s="8">
        <v>1.3</v>
      </c>
      <c r="E641" s="4">
        <v>11</v>
      </c>
      <c r="F641" s="8">
        <v>2.02</v>
      </c>
      <c r="G641" s="4">
        <v>6</v>
      </c>
      <c r="H641" s="8">
        <v>0.79</v>
      </c>
      <c r="I641" s="4">
        <v>0</v>
      </c>
    </row>
    <row r="642" spans="1:9" x14ac:dyDescent="0.2">
      <c r="A642" s="2">
        <v>18</v>
      </c>
      <c r="B642" s="1" t="s">
        <v>124</v>
      </c>
      <c r="C642" s="4">
        <v>16</v>
      </c>
      <c r="D642" s="8">
        <v>1.22</v>
      </c>
      <c r="E642" s="4">
        <v>3</v>
      </c>
      <c r="F642" s="8">
        <v>0.55000000000000004</v>
      </c>
      <c r="G642" s="4">
        <v>13</v>
      </c>
      <c r="H642" s="8">
        <v>1.7</v>
      </c>
      <c r="I642" s="4">
        <v>0</v>
      </c>
    </row>
    <row r="643" spans="1:9" x14ac:dyDescent="0.2">
      <c r="A643" s="2">
        <v>18</v>
      </c>
      <c r="B643" s="1" t="s">
        <v>160</v>
      </c>
      <c r="C643" s="4">
        <v>16</v>
      </c>
      <c r="D643" s="8">
        <v>1.22</v>
      </c>
      <c r="E643" s="4">
        <v>0</v>
      </c>
      <c r="F643" s="8">
        <v>0</v>
      </c>
      <c r="G643" s="4">
        <v>16</v>
      </c>
      <c r="H643" s="8">
        <v>2.1</v>
      </c>
      <c r="I643" s="4">
        <v>0</v>
      </c>
    </row>
    <row r="644" spans="1:9" x14ac:dyDescent="0.2">
      <c r="A644" s="2">
        <v>18</v>
      </c>
      <c r="B644" s="1" t="s">
        <v>180</v>
      </c>
      <c r="C644" s="4">
        <v>16</v>
      </c>
      <c r="D644" s="8">
        <v>1.22</v>
      </c>
      <c r="E644" s="4">
        <v>16</v>
      </c>
      <c r="F644" s="8">
        <v>2.94</v>
      </c>
      <c r="G644" s="4">
        <v>0</v>
      </c>
      <c r="H644" s="8">
        <v>0</v>
      </c>
      <c r="I644" s="4">
        <v>0</v>
      </c>
    </row>
    <row r="645" spans="1:9" x14ac:dyDescent="0.2">
      <c r="A645" s="1"/>
      <c r="C645" s="4"/>
      <c r="D645" s="8"/>
      <c r="E645" s="4"/>
      <c r="F645" s="8"/>
      <c r="G645" s="4"/>
      <c r="H645" s="8"/>
      <c r="I645" s="4"/>
    </row>
    <row r="646" spans="1:9" x14ac:dyDescent="0.2">
      <c r="A646" s="1" t="s">
        <v>29</v>
      </c>
      <c r="C646" s="4"/>
      <c r="D646" s="8"/>
      <c r="E646" s="4"/>
      <c r="F646" s="8"/>
      <c r="G646" s="4"/>
      <c r="H646" s="8"/>
      <c r="I646" s="4"/>
    </row>
    <row r="647" spans="1:9" x14ac:dyDescent="0.2">
      <c r="A647" s="2">
        <v>1</v>
      </c>
      <c r="B647" s="1" t="s">
        <v>122</v>
      </c>
      <c r="C647" s="4">
        <v>39</v>
      </c>
      <c r="D647" s="8">
        <v>3.79</v>
      </c>
      <c r="E647" s="4">
        <v>14</v>
      </c>
      <c r="F647" s="8">
        <v>2.7</v>
      </c>
      <c r="G647" s="4">
        <v>25</v>
      </c>
      <c r="H647" s="8">
        <v>4.96</v>
      </c>
      <c r="I647" s="4">
        <v>0</v>
      </c>
    </row>
    <row r="648" spans="1:9" x14ac:dyDescent="0.2">
      <c r="A648" s="2">
        <v>2</v>
      </c>
      <c r="B648" s="1" t="s">
        <v>138</v>
      </c>
      <c r="C648" s="4">
        <v>36</v>
      </c>
      <c r="D648" s="8">
        <v>3.5</v>
      </c>
      <c r="E648" s="4">
        <v>30</v>
      </c>
      <c r="F648" s="8">
        <v>5.78</v>
      </c>
      <c r="G648" s="4">
        <v>6</v>
      </c>
      <c r="H648" s="8">
        <v>1.19</v>
      </c>
      <c r="I648" s="4">
        <v>0</v>
      </c>
    </row>
    <row r="649" spans="1:9" x14ac:dyDescent="0.2">
      <c r="A649" s="2">
        <v>3</v>
      </c>
      <c r="B649" s="1" t="s">
        <v>137</v>
      </c>
      <c r="C649" s="4">
        <v>30</v>
      </c>
      <c r="D649" s="8">
        <v>2.92</v>
      </c>
      <c r="E649" s="4">
        <v>28</v>
      </c>
      <c r="F649" s="8">
        <v>5.39</v>
      </c>
      <c r="G649" s="4">
        <v>2</v>
      </c>
      <c r="H649" s="8">
        <v>0.4</v>
      </c>
      <c r="I649" s="4">
        <v>0</v>
      </c>
    </row>
    <row r="650" spans="1:9" x14ac:dyDescent="0.2">
      <c r="A650" s="2">
        <v>4</v>
      </c>
      <c r="B650" s="1" t="s">
        <v>127</v>
      </c>
      <c r="C650" s="4">
        <v>28</v>
      </c>
      <c r="D650" s="8">
        <v>2.72</v>
      </c>
      <c r="E650" s="4">
        <v>17</v>
      </c>
      <c r="F650" s="8">
        <v>3.28</v>
      </c>
      <c r="G650" s="4">
        <v>11</v>
      </c>
      <c r="H650" s="8">
        <v>2.1800000000000002</v>
      </c>
      <c r="I650" s="4">
        <v>0</v>
      </c>
    </row>
    <row r="651" spans="1:9" x14ac:dyDescent="0.2">
      <c r="A651" s="2">
        <v>5</v>
      </c>
      <c r="B651" s="1" t="s">
        <v>136</v>
      </c>
      <c r="C651" s="4">
        <v>24</v>
      </c>
      <c r="D651" s="8">
        <v>2.33</v>
      </c>
      <c r="E651" s="4">
        <v>23</v>
      </c>
      <c r="F651" s="8">
        <v>4.43</v>
      </c>
      <c r="G651" s="4">
        <v>1</v>
      </c>
      <c r="H651" s="8">
        <v>0.2</v>
      </c>
      <c r="I651" s="4">
        <v>0</v>
      </c>
    </row>
    <row r="652" spans="1:9" x14ac:dyDescent="0.2">
      <c r="A652" s="2">
        <v>6</v>
      </c>
      <c r="B652" s="1" t="s">
        <v>124</v>
      </c>
      <c r="C652" s="4">
        <v>22</v>
      </c>
      <c r="D652" s="8">
        <v>2.14</v>
      </c>
      <c r="E652" s="4">
        <v>11</v>
      </c>
      <c r="F652" s="8">
        <v>2.12</v>
      </c>
      <c r="G652" s="4">
        <v>11</v>
      </c>
      <c r="H652" s="8">
        <v>2.1800000000000002</v>
      </c>
      <c r="I652" s="4">
        <v>0</v>
      </c>
    </row>
    <row r="653" spans="1:9" x14ac:dyDescent="0.2">
      <c r="A653" s="2">
        <v>6</v>
      </c>
      <c r="B653" s="1" t="s">
        <v>184</v>
      </c>
      <c r="C653" s="4">
        <v>22</v>
      </c>
      <c r="D653" s="8">
        <v>2.14</v>
      </c>
      <c r="E653" s="4">
        <v>11</v>
      </c>
      <c r="F653" s="8">
        <v>2.12</v>
      </c>
      <c r="G653" s="4">
        <v>11</v>
      </c>
      <c r="H653" s="8">
        <v>2.1800000000000002</v>
      </c>
      <c r="I653" s="4">
        <v>0</v>
      </c>
    </row>
    <row r="654" spans="1:9" x14ac:dyDescent="0.2">
      <c r="A654" s="2">
        <v>8</v>
      </c>
      <c r="B654" s="1" t="s">
        <v>182</v>
      </c>
      <c r="C654" s="4">
        <v>19</v>
      </c>
      <c r="D654" s="8">
        <v>1.85</v>
      </c>
      <c r="E654" s="4">
        <v>9</v>
      </c>
      <c r="F654" s="8">
        <v>1.73</v>
      </c>
      <c r="G654" s="4">
        <v>10</v>
      </c>
      <c r="H654" s="8">
        <v>1.98</v>
      </c>
      <c r="I654" s="4">
        <v>0</v>
      </c>
    </row>
    <row r="655" spans="1:9" x14ac:dyDescent="0.2">
      <c r="A655" s="2">
        <v>9</v>
      </c>
      <c r="B655" s="1" t="s">
        <v>178</v>
      </c>
      <c r="C655" s="4">
        <v>17</v>
      </c>
      <c r="D655" s="8">
        <v>1.65</v>
      </c>
      <c r="E655" s="4">
        <v>8</v>
      </c>
      <c r="F655" s="8">
        <v>1.54</v>
      </c>
      <c r="G655" s="4">
        <v>9</v>
      </c>
      <c r="H655" s="8">
        <v>1.79</v>
      </c>
      <c r="I655" s="4">
        <v>0</v>
      </c>
    </row>
    <row r="656" spans="1:9" x14ac:dyDescent="0.2">
      <c r="A656" s="2">
        <v>9</v>
      </c>
      <c r="B656" s="1" t="s">
        <v>128</v>
      </c>
      <c r="C656" s="4">
        <v>17</v>
      </c>
      <c r="D656" s="8">
        <v>1.65</v>
      </c>
      <c r="E656" s="4">
        <v>6</v>
      </c>
      <c r="F656" s="8">
        <v>1.1599999999999999</v>
      </c>
      <c r="G656" s="4">
        <v>11</v>
      </c>
      <c r="H656" s="8">
        <v>2.1800000000000002</v>
      </c>
      <c r="I656" s="4">
        <v>0</v>
      </c>
    </row>
    <row r="657" spans="1:9" x14ac:dyDescent="0.2">
      <c r="A657" s="2">
        <v>11</v>
      </c>
      <c r="B657" s="1" t="s">
        <v>123</v>
      </c>
      <c r="C657" s="4">
        <v>16</v>
      </c>
      <c r="D657" s="8">
        <v>1.55</v>
      </c>
      <c r="E657" s="4">
        <v>6</v>
      </c>
      <c r="F657" s="8">
        <v>1.1599999999999999</v>
      </c>
      <c r="G657" s="4">
        <v>10</v>
      </c>
      <c r="H657" s="8">
        <v>1.98</v>
      </c>
      <c r="I657" s="4">
        <v>0</v>
      </c>
    </row>
    <row r="658" spans="1:9" x14ac:dyDescent="0.2">
      <c r="A658" s="2">
        <v>11</v>
      </c>
      <c r="B658" s="1" t="s">
        <v>183</v>
      </c>
      <c r="C658" s="4">
        <v>16</v>
      </c>
      <c r="D658" s="8">
        <v>1.55</v>
      </c>
      <c r="E658" s="4">
        <v>11</v>
      </c>
      <c r="F658" s="8">
        <v>2.12</v>
      </c>
      <c r="G658" s="4">
        <v>5</v>
      </c>
      <c r="H658" s="8">
        <v>0.99</v>
      </c>
      <c r="I658" s="4">
        <v>0</v>
      </c>
    </row>
    <row r="659" spans="1:9" x14ac:dyDescent="0.2">
      <c r="A659" s="2">
        <v>11</v>
      </c>
      <c r="B659" s="1" t="s">
        <v>176</v>
      </c>
      <c r="C659" s="4">
        <v>16</v>
      </c>
      <c r="D659" s="8">
        <v>1.55</v>
      </c>
      <c r="E659" s="4">
        <v>9</v>
      </c>
      <c r="F659" s="8">
        <v>1.73</v>
      </c>
      <c r="G659" s="4">
        <v>7</v>
      </c>
      <c r="H659" s="8">
        <v>1.39</v>
      </c>
      <c r="I659" s="4">
        <v>0</v>
      </c>
    </row>
    <row r="660" spans="1:9" x14ac:dyDescent="0.2">
      <c r="A660" s="2">
        <v>14</v>
      </c>
      <c r="B660" s="1" t="s">
        <v>126</v>
      </c>
      <c r="C660" s="4">
        <v>15</v>
      </c>
      <c r="D660" s="8">
        <v>1.46</v>
      </c>
      <c r="E660" s="4">
        <v>10</v>
      </c>
      <c r="F660" s="8">
        <v>1.93</v>
      </c>
      <c r="G660" s="4">
        <v>5</v>
      </c>
      <c r="H660" s="8">
        <v>0.99</v>
      </c>
      <c r="I660" s="4">
        <v>0</v>
      </c>
    </row>
    <row r="661" spans="1:9" x14ac:dyDescent="0.2">
      <c r="A661" s="2">
        <v>14</v>
      </c>
      <c r="B661" s="1" t="s">
        <v>172</v>
      </c>
      <c r="C661" s="4">
        <v>15</v>
      </c>
      <c r="D661" s="8">
        <v>1.46</v>
      </c>
      <c r="E661" s="4">
        <v>3</v>
      </c>
      <c r="F661" s="8">
        <v>0.57999999999999996</v>
      </c>
      <c r="G661" s="4">
        <v>12</v>
      </c>
      <c r="H661" s="8">
        <v>2.38</v>
      </c>
      <c r="I661" s="4">
        <v>0</v>
      </c>
    </row>
    <row r="662" spans="1:9" x14ac:dyDescent="0.2">
      <c r="A662" s="2">
        <v>14</v>
      </c>
      <c r="B662" s="1" t="s">
        <v>129</v>
      </c>
      <c r="C662" s="4">
        <v>15</v>
      </c>
      <c r="D662" s="8">
        <v>1.46</v>
      </c>
      <c r="E662" s="4">
        <v>10</v>
      </c>
      <c r="F662" s="8">
        <v>1.93</v>
      </c>
      <c r="G662" s="4">
        <v>5</v>
      </c>
      <c r="H662" s="8">
        <v>0.99</v>
      </c>
      <c r="I662" s="4">
        <v>0</v>
      </c>
    </row>
    <row r="663" spans="1:9" x14ac:dyDescent="0.2">
      <c r="A663" s="2">
        <v>14</v>
      </c>
      <c r="B663" s="1" t="s">
        <v>146</v>
      </c>
      <c r="C663" s="4">
        <v>15</v>
      </c>
      <c r="D663" s="8">
        <v>1.46</v>
      </c>
      <c r="E663" s="4">
        <v>10</v>
      </c>
      <c r="F663" s="8">
        <v>1.93</v>
      </c>
      <c r="G663" s="4">
        <v>5</v>
      </c>
      <c r="H663" s="8">
        <v>0.99</v>
      </c>
      <c r="I663" s="4">
        <v>0</v>
      </c>
    </row>
    <row r="664" spans="1:9" x14ac:dyDescent="0.2">
      <c r="A664" s="2">
        <v>14</v>
      </c>
      <c r="B664" s="1" t="s">
        <v>140</v>
      </c>
      <c r="C664" s="4">
        <v>15</v>
      </c>
      <c r="D664" s="8">
        <v>1.46</v>
      </c>
      <c r="E664" s="4">
        <v>9</v>
      </c>
      <c r="F664" s="8">
        <v>1.73</v>
      </c>
      <c r="G664" s="4">
        <v>6</v>
      </c>
      <c r="H664" s="8">
        <v>1.19</v>
      </c>
      <c r="I664" s="4">
        <v>0</v>
      </c>
    </row>
    <row r="665" spans="1:9" x14ac:dyDescent="0.2">
      <c r="A665" s="2">
        <v>14</v>
      </c>
      <c r="B665" s="1" t="s">
        <v>165</v>
      </c>
      <c r="C665" s="4">
        <v>15</v>
      </c>
      <c r="D665" s="8">
        <v>1.46</v>
      </c>
      <c r="E665" s="4">
        <v>14</v>
      </c>
      <c r="F665" s="8">
        <v>2.7</v>
      </c>
      <c r="G665" s="4">
        <v>1</v>
      </c>
      <c r="H665" s="8">
        <v>0.2</v>
      </c>
      <c r="I665" s="4">
        <v>0</v>
      </c>
    </row>
    <row r="666" spans="1:9" x14ac:dyDescent="0.2">
      <c r="A666" s="2">
        <v>20</v>
      </c>
      <c r="B666" s="1" t="s">
        <v>181</v>
      </c>
      <c r="C666" s="4">
        <v>14</v>
      </c>
      <c r="D666" s="8">
        <v>1.36</v>
      </c>
      <c r="E666" s="4">
        <v>6</v>
      </c>
      <c r="F666" s="8">
        <v>1.1599999999999999</v>
      </c>
      <c r="G666" s="4">
        <v>8</v>
      </c>
      <c r="H666" s="8">
        <v>1.59</v>
      </c>
      <c r="I666" s="4">
        <v>0</v>
      </c>
    </row>
    <row r="667" spans="1:9" x14ac:dyDescent="0.2">
      <c r="A667" s="1"/>
      <c r="C667" s="4"/>
      <c r="D667" s="8"/>
      <c r="E667" s="4"/>
      <c r="F667" s="8"/>
      <c r="G667" s="4"/>
      <c r="H667" s="8"/>
      <c r="I667" s="4"/>
    </row>
    <row r="668" spans="1:9" x14ac:dyDescent="0.2">
      <c r="A668" s="1" t="s">
        <v>30</v>
      </c>
      <c r="C668" s="4"/>
      <c r="D668" s="8"/>
      <c r="E668" s="4"/>
      <c r="F668" s="8"/>
      <c r="G668" s="4"/>
      <c r="H668" s="8"/>
      <c r="I668" s="4"/>
    </row>
    <row r="669" spans="1:9" x14ac:dyDescent="0.2">
      <c r="A669" s="2">
        <v>1</v>
      </c>
      <c r="B669" s="1" t="s">
        <v>122</v>
      </c>
      <c r="C669" s="4">
        <v>43</v>
      </c>
      <c r="D669" s="8">
        <v>3.83</v>
      </c>
      <c r="E669" s="4">
        <v>13</v>
      </c>
      <c r="F669" s="8">
        <v>1.87</v>
      </c>
      <c r="G669" s="4">
        <v>30</v>
      </c>
      <c r="H669" s="8">
        <v>7.35</v>
      </c>
      <c r="I669" s="4">
        <v>0</v>
      </c>
    </row>
    <row r="670" spans="1:9" x14ac:dyDescent="0.2">
      <c r="A670" s="2">
        <v>2</v>
      </c>
      <c r="B670" s="1" t="s">
        <v>136</v>
      </c>
      <c r="C670" s="4">
        <v>39</v>
      </c>
      <c r="D670" s="8">
        <v>3.48</v>
      </c>
      <c r="E670" s="4">
        <v>37</v>
      </c>
      <c r="F670" s="8">
        <v>5.31</v>
      </c>
      <c r="G670" s="4">
        <v>2</v>
      </c>
      <c r="H670" s="8">
        <v>0.49</v>
      </c>
      <c r="I670" s="4">
        <v>0</v>
      </c>
    </row>
    <row r="671" spans="1:9" x14ac:dyDescent="0.2">
      <c r="A671" s="2">
        <v>3</v>
      </c>
      <c r="B671" s="1" t="s">
        <v>138</v>
      </c>
      <c r="C671" s="4">
        <v>38</v>
      </c>
      <c r="D671" s="8">
        <v>3.39</v>
      </c>
      <c r="E671" s="4">
        <v>33</v>
      </c>
      <c r="F671" s="8">
        <v>4.7300000000000004</v>
      </c>
      <c r="G671" s="4">
        <v>5</v>
      </c>
      <c r="H671" s="8">
        <v>1.23</v>
      </c>
      <c r="I671" s="4">
        <v>0</v>
      </c>
    </row>
    <row r="672" spans="1:9" x14ac:dyDescent="0.2">
      <c r="A672" s="2">
        <v>4</v>
      </c>
      <c r="B672" s="1" t="s">
        <v>187</v>
      </c>
      <c r="C672" s="4">
        <v>37</v>
      </c>
      <c r="D672" s="8">
        <v>3.3</v>
      </c>
      <c r="E672" s="4">
        <v>34</v>
      </c>
      <c r="F672" s="8">
        <v>4.88</v>
      </c>
      <c r="G672" s="4">
        <v>3</v>
      </c>
      <c r="H672" s="8">
        <v>0.74</v>
      </c>
      <c r="I672" s="4">
        <v>0</v>
      </c>
    </row>
    <row r="673" spans="1:9" x14ac:dyDescent="0.2">
      <c r="A673" s="2">
        <v>5</v>
      </c>
      <c r="B673" s="1" t="s">
        <v>132</v>
      </c>
      <c r="C673" s="4">
        <v>33</v>
      </c>
      <c r="D673" s="8">
        <v>2.94</v>
      </c>
      <c r="E673" s="4">
        <v>22</v>
      </c>
      <c r="F673" s="8">
        <v>3.16</v>
      </c>
      <c r="G673" s="4">
        <v>11</v>
      </c>
      <c r="H673" s="8">
        <v>2.7</v>
      </c>
      <c r="I673" s="4">
        <v>0</v>
      </c>
    </row>
    <row r="674" spans="1:9" x14ac:dyDescent="0.2">
      <c r="A674" s="2">
        <v>6</v>
      </c>
      <c r="B674" s="1" t="s">
        <v>133</v>
      </c>
      <c r="C674" s="4">
        <v>32</v>
      </c>
      <c r="D674" s="8">
        <v>2.85</v>
      </c>
      <c r="E674" s="4">
        <v>27</v>
      </c>
      <c r="F674" s="8">
        <v>3.87</v>
      </c>
      <c r="G674" s="4">
        <v>5</v>
      </c>
      <c r="H674" s="8">
        <v>1.23</v>
      </c>
      <c r="I674" s="4">
        <v>0</v>
      </c>
    </row>
    <row r="675" spans="1:9" x14ac:dyDescent="0.2">
      <c r="A675" s="2">
        <v>7</v>
      </c>
      <c r="B675" s="1" t="s">
        <v>129</v>
      </c>
      <c r="C675" s="4">
        <v>30</v>
      </c>
      <c r="D675" s="8">
        <v>2.67</v>
      </c>
      <c r="E675" s="4">
        <v>23</v>
      </c>
      <c r="F675" s="8">
        <v>3.3</v>
      </c>
      <c r="G675" s="4">
        <v>7</v>
      </c>
      <c r="H675" s="8">
        <v>1.72</v>
      </c>
      <c r="I675" s="4">
        <v>0</v>
      </c>
    </row>
    <row r="676" spans="1:9" x14ac:dyDescent="0.2">
      <c r="A676" s="2">
        <v>8</v>
      </c>
      <c r="B676" s="1" t="s">
        <v>169</v>
      </c>
      <c r="C676" s="4">
        <v>28</v>
      </c>
      <c r="D676" s="8">
        <v>2.5</v>
      </c>
      <c r="E676" s="4">
        <v>21</v>
      </c>
      <c r="F676" s="8">
        <v>3.01</v>
      </c>
      <c r="G676" s="4">
        <v>7</v>
      </c>
      <c r="H676" s="8">
        <v>1.72</v>
      </c>
      <c r="I676" s="4">
        <v>0</v>
      </c>
    </row>
    <row r="677" spans="1:9" x14ac:dyDescent="0.2">
      <c r="A677" s="2">
        <v>8</v>
      </c>
      <c r="B677" s="1" t="s">
        <v>137</v>
      </c>
      <c r="C677" s="4">
        <v>28</v>
      </c>
      <c r="D677" s="8">
        <v>2.5</v>
      </c>
      <c r="E677" s="4">
        <v>28</v>
      </c>
      <c r="F677" s="8">
        <v>4.0199999999999996</v>
      </c>
      <c r="G677" s="4">
        <v>0</v>
      </c>
      <c r="H677" s="8">
        <v>0</v>
      </c>
      <c r="I677" s="4">
        <v>0</v>
      </c>
    </row>
    <row r="678" spans="1:9" x14ac:dyDescent="0.2">
      <c r="A678" s="2">
        <v>10</v>
      </c>
      <c r="B678" s="1" t="s">
        <v>151</v>
      </c>
      <c r="C678" s="4">
        <v>27</v>
      </c>
      <c r="D678" s="8">
        <v>2.41</v>
      </c>
      <c r="E678" s="4">
        <v>21</v>
      </c>
      <c r="F678" s="8">
        <v>3.01</v>
      </c>
      <c r="G678" s="4">
        <v>6</v>
      </c>
      <c r="H678" s="8">
        <v>1.47</v>
      </c>
      <c r="I678" s="4">
        <v>0</v>
      </c>
    </row>
    <row r="679" spans="1:9" x14ac:dyDescent="0.2">
      <c r="A679" s="2">
        <v>10</v>
      </c>
      <c r="B679" s="1" t="s">
        <v>189</v>
      </c>
      <c r="C679" s="4">
        <v>27</v>
      </c>
      <c r="D679" s="8">
        <v>2.41</v>
      </c>
      <c r="E679" s="4">
        <v>26</v>
      </c>
      <c r="F679" s="8">
        <v>3.73</v>
      </c>
      <c r="G679" s="4">
        <v>1</v>
      </c>
      <c r="H679" s="8">
        <v>0.25</v>
      </c>
      <c r="I679" s="4">
        <v>0</v>
      </c>
    </row>
    <row r="680" spans="1:9" x14ac:dyDescent="0.2">
      <c r="A680" s="2">
        <v>12</v>
      </c>
      <c r="B680" s="1" t="s">
        <v>127</v>
      </c>
      <c r="C680" s="4">
        <v>23</v>
      </c>
      <c r="D680" s="8">
        <v>2.0499999999999998</v>
      </c>
      <c r="E680" s="4">
        <v>17</v>
      </c>
      <c r="F680" s="8">
        <v>2.44</v>
      </c>
      <c r="G680" s="4">
        <v>6</v>
      </c>
      <c r="H680" s="8">
        <v>1.47</v>
      </c>
      <c r="I680" s="4">
        <v>0</v>
      </c>
    </row>
    <row r="681" spans="1:9" x14ac:dyDescent="0.2">
      <c r="A681" s="2">
        <v>13</v>
      </c>
      <c r="B681" s="1" t="s">
        <v>123</v>
      </c>
      <c r="C681" s="4">
        <v>21</v>
      </c>
      <c r="D681" s="8">
        <v>1.87</v>
      </c>
      <c r="E681" s="4">
        <v>8</v>
      </c>
      <c r="F681" s="8">
        <v>1.1499999999999999</v>
      </c>
      <c r="G681" s="4">
        <v>13</v>
      </c>
      <c r="H681" s="8">
        <v>3.19</v>
      </c>
      <c r="I681" s="4">
        <v>0</v>
      </c>
    </row>
    <row r="682" spans="1:9" x14ac:dyDescent="0.2">
      <c r="A682" s="2">
        <v>14</v>
      </c>
      <c r="B682" s="1" t="s">
        <v>126</v>
      </c>
      <c r="C682" s="4">
        <v>20</v>
      </c>
      <c r="D682" s="8">
        <v>1.78</v>
      </c>
      <c r="E682" s="4">
        <v>16</v>
      </c>
      <c r="F682" s="8">
        <v>2.2999999999999998</v>
      </c>
      <c r="G682" s="4">
        <v>4</v>
      </c>
      <c r="H682" s="8">
        <v>0.98</v>
      </c>
      <c r="I682" s="4">
        <v>0</v>
      </c>
    </row>
    <row r="683" spans="1:9" x14ac:dyDescent="0.2">
      <c r="A683" s="2">
        <v>15</v>
      </c>
      <c r="B683" s="1" t="s">
        <v>141</v>
      </c>
      <c r="C683" s="4">
        <v>18</v>
      </c>
      <c r="D683" s="8">
        <v>1.6</v>
      </c>
      <c r="E683" s="4">
        <v>16</v>
      </c>
      <c r="F683" s="8">
        <v>2.2999999999999998</v>
      </c>
      <c r="G683" s="4">
        <v>2</v>
      </c>
      <c r="H683" s="8">
        <v>0.49</v>
      </c>
      <c r="I683" s="4">
        <v>0</v>
      </c>
    </row>
    <row r="684" spans="1:9" x14ac:dyDescent="0.2">
      <c r="A684" s="2">
        <v>16</v>
      </c>
      <c r="B684" s="1" t="s">
        <v>185</v>
      </c>
      <c r="C684" s="4">
        <v>16</v>
      </c>
      <c r="D684" s="8">
        <v>1.43</v>
      </c>
      <c r="E684" s="4">
        <v>15</v>
      </c>
      <c r="F684" s="8">
        <v>2.15</v>
      </c>
      <c r="G684" s="4">
        <v>1</v>
      </c>
      <c r="H684" s="8">
        <v>0.25</v>
      </c>
      <c r="I684" s="4">
        <v>0</v>
      </c>
    </row>
    <row r="685" spans="1:9" x14ac:dyDescent="0.2">
      <c r="A685" s="2">
        <v>17</v>
      </c>
      <c r="B685" s="1" t="s">
        <v>130</v>
      </c>
      <c r="C685" s="4">
        <v>15</v>
      </c>
      <c r="D685" s="8">
        <v>1.34</v>
      </c>
      <c r="E685" s="4">
        <v>6</v>
      </c>
      <c r="F685" s="8">
        <v>0.86</v>
      </c>
      <c r="G685" s="4">
        <v>9</v>
      </c>
      <c r="H685" s="8">
        <v>2.21</v>
      </c>
      <c r="I685" s="4">
        <v>0</v>
      </c>
    </row>
    <row r="686" spans="1:9" x14ac:dyDescent="0.2">
      <c r="A686" s="2">
        <v>18</v>
      </c>
      <c r="B686" s="1" t="s">
        <v>159</v>
      </c>
      <c r="C686" s="4">
        <v>14</v>
      </c>
      <c r="D686" s="8">
        <v>1.25</v>
      </c>
      <c r="E686" s="4">
        <v>10</v>
      </c>
      <c r="F686" s="8">
        <v>1.43</v>
      </c>
      <c r="G686" s="4">
        <v>4</v>
      </c>
      <c r="H686" s="8">
        <v>0.98</v>
      </c>
      <c r="I686" s="4">
        <v>0</v>
      </c>
    </row>
    <row r="687" spans="1:9" x14ac:dyDescent="0.2">
      <c r="A687" s="2">
        <v>18</v>
      </c>
      <c r="B687" s="1" t="s">
        <v>144</v>
      </c>
      <c r="C687" s="4">
        <v>14</v>
      </c>
      <c r="D687" s="8">
        <v>1.25</v>
      </c>
      <c r="E687" s="4">
        <v>6</v>
      </c>
      <c r="F687" s="8">
        <v>0.86</v>
      </c>
      <c r="G687" s="4">
        <v>8</v>
      </c>
      <c r="H687" s="8">
        <v>1.96</v>
      </c>
      <c r="I687" s="4">
        <v>0</v>
      </c>
    </row>
    <row r="688" spans="1:9" x14ac:dyDescent="0.2">
      <c r="A688" s="2">
        <v>20</v>
      </c>
      <c r="B688" s="1" t="s">
        <v>186</v>
      </c>
      <c r="C688" s="4">
        <v>13</v>
      </c>
      <c r="D688" s="8">
        <v>1.1599999999999999</v>
      </c>
      <c r="E688" s="4">
        <v>12</v>
      </c>
      <c r="F688" s="8">
        <v>1.72</v>
      </c>
      <c r="G688" s="4">
        <v>1</v>
      </c>
      <c r="H688" s="8">
        <v>0.25</v>
      </c>
      <c r="I688" s="4">
        <v>0</v>
      </c>
    </row>
    <row r="689" spans="1:9" x14ac:dyDescent="0.2">
      <c r="A689" s="2">
        <v>20</v>
      </c>
      <c r="B689" s="1" t="s">
        <v>176</v>
      </c>
      <c r="C689" s="4">
        <v>13</v>
      </c>
      <c r="D689" s="8">
        <v>1.1599999999999999</v>
      </c>
      <c r="E689" s="4">
        <v>8</v>
      </c>
      <c r="F689" s="8">
        <v>1.1499999999999999</v>
      </c>
      <c r="G689" s="4">
        <v>5</v>
      </c>
      <c r="H689" s="8">
        <v>1.23</v>
      </c>
      <c r="I689" s="4">
        <v>0</v>
      </c>
    </row>
    <row r="690" spans="1:9" x14ac:dyDescent="0.2">
      <c r="A690" s="2">
        <v>20</v>
      </c>
      <c r="B690" s="1" t="s">
        <v>188</v>
      </c>
      <c r="C690" s="4">
        <v>13</v>
      </c>
      <c r="D690" s="8">
        <v>1.1599999999999999</v>
      </c>
      <c r="E690" s="4">
        <v>8</v>
      </c>
      <c r="F690" s="8">
        <v>1.1499999999999999</v>
      </c>
      <c r="G690" s="4">
        <v>5</v>
      </c>
      <c r="H690" s="8">
        <v>1.23</v>
      </c>
      <c r="I690" s="4">
        <v>0</v>
      </c>
    </row>
    <row r="691" spans="1:9" x14ac:dyDescent="0.2">
      <c r="A691" s="2">
        <v>20</v>
      </c>
      <c r="B691" s="1" t="s">
        <v>128</v>
      </c>
      <c r="C691" s="4">
        <v>13</v>
      </c>
      <c r="D691" s="8">
        <v>1.1599999999999999</v>
      </c>
      <c r="E691" s="4">
        <v>4</v>
      </c>
      <c r="F691" s="8">
        <v>0.56999999999999995</v>
      </c>
      <c r="G691" s="4">
        <v>9</v>
      </c>
      <c r="H691" s="8">
        <v>2.21</v>
      </c>
      <c r="I691" s="4">
        <v>0</v>
      </c>
    </row>
    <row r="692" spans="1:9" x14ac:dyDescent="0.2">
      <c r="A692" s="1"/>
      <c r="C692" s="4"/>
      <c r="D692" s="8"/>
      <c r="E692" s="4"/>
      <c r="F692" s="8"/>
      <c r="G692" s="4"/>
      <c r="H692" s="8"/>
      <c r="I692" s="4"/>
    </row>
    <row r="693" spans="1:9" x14ac:dyDescent="0.2">
      <c r="A693" s="1" t="s">
        <v>31</v>
      </c>
      <c r="C693" s="4"/>
      <c r="D693" s="8"/>
      <c r="E693" s="4"/>
      <c r="F693" s="8"/>
      <c r="G693" s="4"/>
      <c r="H693" s="8"/>
      <c r="I693" s="4"/>
    </row>
    <row r="694" spans="1:9" x14ac:dyDescent="0.2">
      <c r="A694" s="2">
        <v>1</v>
      </c>
      <c r="B694" s="1" t="s">
        <v>171</v>
      </c>
      <c r="C694" s="4">
        <v>41</v>
      </c>
      <c r="D694" s="8">
        <v>5.83</v>
      </c>
      <c r="E694" s="4">
        <v>30</v>
      </c>
      <c r="F694" s="8">
        <v>6.76</v>
      </c>
      <c r="G694" s="4">
        <v>11</v>
      </c>
      <c r="H694" s="8">
        <v>4.5599999999999996</v>
      </c>
      <c r="I694" s="4">
        <v>0</v>
      </c>
    </row>
    <row r="695" spans="1:9" x14ac:dyDescent="0.2">
      <c r="A695" s="2">
        <v>2</v>
      </c>
      <c r="B695" s="1" t="s">
        <v>122</v>
      </c>
      <c r="C695" s="4">
        <v>35</v>
      </c>
      <c r="D695" s="8">
        <v>4.9800000000000004</v>
      </c>
      <c r="E695" s="4">
        <v>11</v>
      </c>
      <c r="F695" s="8">
        <v>2.48</v>
      </c>
      <c r="G695" s="4">
        <v>24</v>
      </c>
      <c r="H695" s="8">
        <v>9.9600000000000009</v>
      </c>
      <c r="I695" s="4">
        <v>0</v>
      </c>
    </row>
    <row r="696" spans="1:9" x14ac:dyDescent="0.2">
      <c r="A696" s="2">
        <v>3</v>
      </c>
      <c r="B696" s="1" t="s">
        <v>138</v>
      </c>
      <c r="C696" s="4">
        <v>30</v>
      </c>
      <c r="D696" s="8">
        <v>4.2699999999999996</v>
      </c>
      <c r="E696" s="4">
        <v>30</v>
      </c>
      <c r="F696" s="8">
        <v>6.76</v>
      </c>
      <c r="G696" s="4">
        <v>0</v>
      </c>
      <c r="H696" s="8">
        <v>0</v>
      </c>
      <c r="I696" s="4">
        <v>0</v>
      </c>
    </row>
    <row r="697" spans="1:9" x14ac:dyDescent="0.2">
      <c r="A697" s="2">
        <v>4</v>
      </c>
      <c r="B697" s="1" t="s">
        <v>129</v>
      </c>
      <c r="C697" s="4">
        <v>20</v>
      </c>
      <c r="D697" s="8">
        <v>2.84</v>
      </c>
      <c r="E697" s="4">
        <v>12</v>
      </c>
      <c r="F697" s="8">
        <v>2.7</v>
      </c>
      <c r="G697" s="4">
        <v>8</v>
      </c>
      <c r="H697" s="8">
        <v>3.32</v>
      </c>
      <c r="I697" s="4">
        <v>0</v>
      </c>
    </row>
    <row r="698" spans="1:9" x14ac:dyDescent="0.2">
      <c r="A698" s="2">
        <v>4</v>
      </c>
      <c r="B698" s="1" t="s">
        <v>132</v>
      </c>
      <c r="C698" s="4">
        <v>20</v>
      </c>
      <c r="D698" s="8">
        <v>2.84</v>
      </c>
      <c r="E698" s="4">
        <v>14</v>
      </c>
      <c r="F698" s="8">
        <v>3.15</v>
      </c>
      <c r="G698" s="4">
        <v>6</v>
      </c>
      <c r="H698" s="8">
        <v>2.4900000000000002</v>
      </c>
      <c r="I698" s="4">
        <v>0</v>
      </c>
    </row>
    <row r="699" spans="1:9" x14ac:dyDescent="0.2">
      <c r="A699" s="2">
        <v>6</v>
      </c>
      <c r="B699" s="1" t="s">
        <v>137</v>
      </c>
      <c r="C699" s="4">
        <v>19</v>
      </c>
      <c r="D699" s="8">
        <v>2.7</v>
      </c>
      <c r="E699" s="4">
        <v>19</v>
      </c>
      <c r="F699" s="8">
        <v>4.28</v>
      </c>
      <c r="G699" s="4">
        <v>0</v>
      </c>
      <c r="H699" s="8">
        <v>0</v>
      </c>
      <c r="I699" s="4">
        <v>0</v>
      </c>
    </row>
    <row r="700" spans="1:9" x14ac:dyDescent="0.2">
      <c r="A700" s="2">
        <v>7</v>
      </c>
      <c r="B700" s="1" t="s">
        <v>139</v>
      </c>
      <c r="C700" s="4">
        <v>18</v>
      </c>
      <c r="D700" s="8">
        <v>2.56</v>
      </c>
      <c r="E700" s="4">
        <v>17</v>
      </c>
      <c r="F700" s="8">
        <v>3.83</v>
      </c>
      <c r="G700" s="4">
        <v>1</v>
      </c>
      <c r="H700" s="8">
        <v>0.41</v>
      </c>
      <c r="I700" s="4">
        <v>0</v>
      </c>
    </row>
    <row r="701" spans="1:9" x14ac:dyDescent="0.2">
      <c r="A701" s="2">
        <v>8</v>
      </c>
      <c r="B701" s="1" t="s">
        <v>127</v>
      </c>
      <c r="C701" s="4">
        <v>16</v>
      </c>
      <c r="D701" s="8">
        <v>2.2799999999999998</v>
      </c>
      <c r="E701" s="4">
        <v>14</v>
      </c>
      <c r="F701" s="8">
        <v>3.15</v>
      </c>
      <c r="G701" s="4">
        <v>2</v>
      </c>
      <c r="H701" s="8">
        <v>0.83</v>
      </c>
      <c r="I701" s="4">
        <v>0</v>
      </c>
    </row>
    <row r="702" spans="1:9" x14ac:dyDescent="0.2">
      <c r="A702" s="2">
        <v>8</v>
      </c>
      <c r="B702" s="1" t="s">
        <v>136</v>
      </c>
      <c r="C702" s="4">
        <v>16</v>
      </c>
      <c r="D702" s="8">
        <v>2.2799999999999998</v>
      </c>
      <c r="E702" s="4">
        <v>13</v>
      </c>
      <c r="F702" s="8">
        <v>2.93</v>
      </c>
      <c r="G702" s="4">
        <v>2</v>
      </c>
      <c r="H702" s="8">
        <v>0.83</v>
      </c>
      <c r="I702" s="4">
        <v>1</v>
      </c>
    </row>
    <row r="703" spans="1:9" x14ac:dyDescent="0.2">
      <c r="A703" s="2">
        <v>10</v>
      </c>
      <c r="B703" s="1" t="s">
        <v>169</v>
      </c>
      <c r="C703" s="4">
        <v>14</v>
      </c>
      <c r="D703" s="8">
        <v>1.99</v>
      </c>
      <c r="E703" s="4">
        <v>13</v>
      </c>
      <c r="F703" s="8">
        <v>2.93</v>
      </c>
      <c r="G703" s="4">
        <v>1</v>
      </c>
      <c r="H703" s="8">
        <v>0.41</v>
      </c>
      <c r="I703" s="4">
        <v>0</v>
      </c>
    </row>
    <row r="704" spans="1:9" x14ac:dyDescent="0.2">
      <c r="A704" s="2">
        <v>11</v>
      </c>
      <c r="B704" s="1" t="s">
        <v>124</v>
      </c>
      <c r="C704" s="4">
        <v>13</v>
      </c>
      <c r="D704" s="8">
        <v>1.85</v>
      </c>
      <c r="E704" s="4">
        <v>8</v>
      </c>
      <c r="F704" s="8">
        <v>1.8</v>
      </c>
      <c r="G704" s="4">
        <v>5</v>
      </c>
      <c r="H704" s="8">
        <v>2.0699999999999998</v>
      </c>
      <c r="I704" s="4">
        <v>0</v>
      </c>
    </row>
    <row r="705" spans="1:9" x14ac:dyDescent="0.2">
      <c r="A705" s="2">
        <v>11</v>
      </c>
      <c r="B705" s="1" t="s">
        <v>125</v>
      </c>
      <c r="C705" s="4">
        <v>13</v>
      </c>
      <c r="D705" s="8">
        <v>1.85</v>
      </c>
      <c r="E705" s="4">
        <v>9</v>
      </c>
      <c r="F705" s="8">
        <v>2.0299999999999998</v>
      </c>
      <c r="G705" s="4">
        <v>4</v>
      </c>
      <c r="H705" s="8">
        <v>1.66</v>
      </c>
      <c r="I705" s="4">
        <v>0</v>
      </c>
    </row>
    <row r="706" spans="1:9" x14ac:dyDescent="0.2">
      <c r="A706" s="2">
        <v>11</v>
      </c>
      <c r="B706" s="1" t="s">
        <v>126</v>
      </c>
      <c r="C706" s="4">
        <v>13</v>
      </c>
      <c r="D706" s="8">
        <v>1.85</v>
      </c>
      <c r="E706" s="4">
        <v>11</v>
      </c>
      <c r="F706" s="8">
        <v>2.48</v>
      </c>
      <c r="G706" s="4">
        <v>2</v>
      </c>
      <c r="H706" s="8">
        <v>0.83</v>
      </c>
      <c r="I706" s="4">
        <v>0</v>
      </c>
    </row>
    <row r="707" spans="1:9" x14ac:dyDescent="0.2">
      <c r="A707" s="2">
        <v>14</v>
      </c>
      <c r="B707" s="1" t="s">
        <v>128</v>
      </c>
      <c r="C707" s="4">
        <v>12</v>
      </c>
      <c r="D707" s="8">
        <v>1.71</v>
      </c>
      <c r="E707" s="4">
        <v>6</v>
      </c>
      <c r="F707" s="8">
        <v>1.35</v>
      </c>
      <c r="G707" s="4">
        <v>6</v>
      </c>
      <c r="H707" s="8">
        <v>2.4900000000000002</v>
      </c>
      <c r="I707" s="4">
        <v>0</v>
      </c>
    </row>
    <row r="708" spans="1:9" x14ac:dyDescent="0.2">
      <c r="A708" s="2">
        <v>14</v>
      </c>
      <c r="B708" s="1" t="s">
        <v>144</v>
      </c>
      <c r="C708" s="4">
        <v>12</v>
      </c>
      <c r="D708" s="8">
        <v>1.71</v>
      </c>
      <c r="E708" s="4">
        <v>6</v>
      </c>
      <c r="F708" s="8">
        <v>1.35</v>
      </c>
      <c r="G708" s="4">
        <v>5</v>
      </c>
      <c r="H708" s="8">
        <v>2.0699999999999998</v>
      </c>
      <c r="I708" s="4">
        <v>0</v>
      </c>
    </row>
    <row r="709" spans="1:9" x14ac:dyDescent="0.2">
      <c r="A709" s="2">
        <v>16</v>
      </c>
      <c r="B709" s="1" t="s">
        <v>154</v>
      </c>
      <c r="C709" s="4">
        <v>11</v>
      </c>
      <c r="D709" s="8">
        <v>1.56</v>
      </c>
      <c r="E709" s="4">
        <v>9</v>
      </c>
      <c r="F709" s="8">
        <v>2.0299999999999998</v>
      </c>
      <c r="G709" s="4">
        <v>2</v>
      </c>
      <c r="H709" s="8">
        <v>0.83</v>
      </c>
      <c r="I709" s="4">
        <v>0</v>
      </c>
    </row>
    <row r="710" spans="1:9" x14ac:dyDescent="0.2">
      <c r="A710" s="2">
        <v>16</v>
      </c>
      <c r="B710" s="1" t="s">
        <v>172</v>
      </c>
      <c r="C710" s="4">
        <v>11</v>
      </c>
      <c r="D710" s="8">
        <v>1.56</v>
      </c>
      <c r="E710" s="4">
        <v>0</v>
      </c>
      <c r="F710" s="8">
        <v>0</v>
      </c>
      <c r="G710" s="4">
        <v>11</v>
      </c>
      <c r="H710" s="8">
        <v>4.5599999999999996</v>
      </c>
      <c r="I710" s="4">
        <v>0</v>
      </c>
    </row>
    <row r="711" spans="1:9" x14ac:dyDescent="0.2">
      <c r="A711" s="2">
        <v>18</v>
      </c>
      <c r="B711" s="1" t="s">
        <v>133</v>
      </c>
      <c r="C711" s="4">
        <v>10</v>
      </c>
      <c r="D711" s="8">
        <v>1.42</v>
      </c>
      <c r="E711" s="4">
        <v>9</v>
      </c>
      <c r="F711" s="8">
        <v>2.0299999999999998</v>
      </c>
      <c r="G711" s="4">
        <v>1</v>
      </c>
      <c r="H711" s="8">
        <v>0.41</v>
      </c>
      <c r="I711" s="4">
        <v>0</v>
      </c>
    </row>
    <row r="712" spans="1:9" x14ac:dyDescent="0.2">
      <c r="A712" s="2">
        <v>18</v>
      </c>
      <c r="B712" s="1" t="s">
        <v>140</v>
      </c>
      <c r="C712" s="4">
        <v>10</v>
      </c>
      <c r="D712" s="8">
        <v>1.42</v>
      </c>
      <c r="E712" s="4">
        <v>9</v>
      </c>
      <c r="F712" s="8">
        <v>2.0299999999999998</v>
      </c>
      <c r="G712" s="4">
        <v>1</v>
      </c>
      <c r="H712" s="8">
        <v>0.41</v>
      </c>
      <c r="I712" s="4">
        <v>0</v>
      </c>
    </row>
    <row r="713" spans="1:9" x14ac:dyDescent="0.2">
      <c r="A713" s="2">
        <v>20</v>
      </c>
      <c r="B713" s="1" t="s">
        <v>123</v>
      </c>
      <c r="C713" s="4">
        <v>9</v>
      </c>
      <c r="D713" s="8">
        <v>1.28</v>
      </c>
      <c r="E713" s="4">
        <v>4</v>
      </c>
      <c r="F713" s="8">
        <v>0.9</v>
      </c>
      <c r="G713" s="4">
        <v>5</v>
      </c>
      <c r="H713" s="8">
        <v>2.0699999999999998</v>
      </c>
      <c r="I713" s="4">
        <v>0</v>
      </c>
    </row>
    <row r="714" spans="1:9" x14ac:dyDescent="0.2">
      <c r="A714" s="2">
        <v>20</v>
      </c>
      <c r="B714" s="1" t="s">
        <v>159</v>
      </c>
      <c r="C714" s="4">
        <v>9</v>
      </c>
      <c r="D714" s="8">
        <v>1.28</v>
      </c>
      <c r="E714" s="4">
        <v>8</v>
      </c>
      <c r="F714" s="8">
        <v>1.8</v>
      </c>
      <c r="G714" s="4">
        <v>1</v>
      </c>
      <c r="H714" s="8">
        <v>0.41</v>
      </c>
      <c r="I714" s="4">
        <v>0</v>
      </c>
    </row>
    <row r="715" spans="1:9" x14ac:dyDescent="0.2">
      <c r="A715" s="2">
        <v>20</v>
      </c>
      <c r="B715" s="1" t="s">
        <v>176</v>
      </c>
      <c r="C715" s="4">
        <v>9</v>
      </c>
      <c r="D715" s="8">
        <v>1.28</v>
      </c>
      <c r="E715" s="4">
        <v>5</v>
      </c>
      <c r="F715" s="8">
        <v>1.1299999999999999</v>
      </c>
      <c r="G715" s="4">
        <v>4</v>
      </c>
      <c r="H715" s="8">
        <v>1.66</v>
      </c>
      <c r="I715" s="4">
        <v>0</v>
      </c>
    </row>
    <row r="716" spans="1:9" x14ac:dyDescent="0.2">
      <c r="A716" s="2">
        <v>20</v>
      </c>
      <c r="B716" s="1" t="s">
        <v>131</v>
      </c>
      <c r="C716" s="4">
        <v>9</v>
      </c>
      <c r="D716" s="8">
        <v>1.28</v>
      </c>
      <c r="E716" s="4">
        <v>0</v>
      </c>
      <c r="F716" s="8">
        <v>0</v>
      </c>
      <c r="G716" s="4">
        <v>9</v>
      </c>
      <c r="H716" s="8">
        <v>3.73</v>
      </c>
      <c r="I716" s="4">
        <v>0</v>
      </c>
    </row>
    <row r="717" spans="1:9" x14ac:dyDescent="0.2">
      <c r="A717" s="1"/>
      <c r="C717" s="4"/>
      <c r="D717" s="8"/>
      <c r="E717" s="4"/>
      <c r="F717" s="8"/>
      <c r="G717" s="4"/>
      <c r="H717" s="8"/>
      <c r="I717" s="4"/>
    </row>
    <row r="718" spans="1:9" x14ac:dyDescent="0.2">
      <c r="A718" s="1" t="s">
        <v>32</v>
      </c>
      <c r="C718" s="4"/>
      <c r="D718" s="8"/>
      <c r="E718" s="4"/>
      <c r="F718" s="8"/>
      <c r="G718" s="4"/>
      <c r="H718" s="8"/>
      <c r="I718" s="4"/>
    </row>
    <row r="719" spans="1:9" x14ac:dyDescent="0.2">
      <c r="A719" s="2">
        <v>1</v>
      </c>
      <c r="B719" s="1" t="s">
        <v>138</v>
      </c>
      <c r="C719" s="4">
        <v>91</v>
      </c>
      <c r="D719" s="8">
        <v>4.88</v>
      </c>
      <c r="E719" s="4">
        <v>86</v>
      </c>
      <c r="F719" s="8">
        <v>7.3</v>
      </c>
      <c r="G719" s="4">
        <v>5</v>
      </c>
      <c r="H719" s="8">
        <v>0.76</v>
      </c>
      <c r="I719" s="4">
        <v>0</v>
      </c>
    </row>
    <row r="720" spans="1:9" x14ac:dyDescent="0.2">
      <c r="A720" s="2">
        <v>2</v>
      </c>
      <c r="B720" s="1" t="s">
        <v>122</v>
      </c>
      <c r="C720" s="4">
        <v>88</v>
      </c>
      <c r="D720" s="8">
        <v>4.72</v>
      </c>
      <c r="E720" s="4">
        <v>36</v>
      </c>
      <c r="F720" s="8">
        <v>3.06</v>
      </c>
      <c r="G720" s="4">
        <v>52</v>
      </c>
      <c r="H720" s="8">
        <v>7.94</v>
      </c>
      <c r="I720" s="4">
        <v>0</v>
      </c>
    </row>
    <row r="721" spans="1:9" x14ac:dyDescent="0.2">
      <c r="A721" s="2">
        <v>3</v>
      </c>
      <c r="B721" s="1" t="s">
        <v>137</v>
      </c>
      <c r="C721" s="4">
        <v>58</v>
      </c>
      <c r="D721" s="8">
        <v>3.11</v>
      </c>
      <c r="E721" s="4">
        <v>55</v>
      </c>
      <c r="F721" s="8">
        <v>4.67</v>
      </c>
      <c r="G721" s="4">
        <v>3</v>
      </c>
      <c r="H721" s="8">
        <v>0.46</v>
      </c>
      <c r="I721" s="4">
        <v>0</v>
      </c>
    </row>
    <row r="722" spans="1:9" x14ac:dyDescent="0.2">
      <c r="A722" s="2">
        <v>4</v>
      </c>
      <c r="B722" s="1" t="s">
        <v>169</v>
      </c>
      <c r="C722" s="4">
        <v>51</v>
      </c>
      <c r="D722" s="8">
        <v>2.74</v>
      </c>
      <c r="E722" s="4">
        <v>40</v>
      </c>
      <c r="F722" s="8">
        <v>3.4</v>
      </c>
      <c r="G722" s="4">
        <v>11</v>
      </c>
      <c r="H722" s="8">
        <v>1.68</v>
      </c>
      <c r="I722" s="4">
        <v>0</v>
      </c>
    </row>
    <row r="723" spans="1:9" x14ac:dyDescent="0.2">
      <c r="A723" s="2">
        <v>5</v>
      </c>
      <c r="B723" s="1" t="s">
        <v>127</v>
      </c>
      <c r="C723" s="4">
        <v>48</v>
      </c>
      <c r="D723" s="8">
        <v>2.58</v>
      </c>
      <c r="E723" s="4">
        <v>30</v>
      </c>
      <c r="F723" s="8">
        <v>2.5499999999999998</v>
      </c>
      <c r="G723" s="4">
        <v>18</v>
      </c>
      <c r="H723" s="8">
        <v>2.75</v>
      </c>
      <c r="I723" s="4">
        <v>0</v>
      </c>
    </row>
    <row r="724" spans="1:9" x14ac:dyDescent="0.2">
      <c r="A724" s="2">
        <v>6</v>
      </c>
      <c r="B724" s="1" t="s">
        <v>123</v>
      </c>
      <c r="C724" s="4">
        <v>43</v>
      </c>
      <c r="D724" s="8">
        <v>2.31</v>
      </c>
      <c r="E724" s="4">
        <v>18</v>
      </c>
      <c r="F724" s="8">
        <v>1.53</v>
      </c>
      <c r="G724" s="4">
        <v>25</v>
      </c>
      <c r="H724" s="8">
        <v>3.82</v>
      </c>
      <c r="I724" s="4">
        <v>0</v>
      </c>
    </row>
    <row r="725" spans="1:9" x14ac:dyDescent="0.2">
      <c r="A725" s="2">
        <v>7</v>
      </c>
      <c r="B725" s="1" t="s">
        <v>124</v>
      </c>
      <c r="C725" s="4">
        <v>38</v>
      </c>
      <c r="D725" s="8">
        <v>2.04</v>
      </c>
      <c r="E725" s="4">
        <v>26</v>
      </c>
      <c r="F725" s="8">
        <v>2.21</v>
      </c>
      <c r="G725" s="4">
        <v>12</v>
      </c>
      <c r="H725" s="8">
        <v>1.83</v>
      </c>
      <c r="I725" s="4">
        <v>0</v>
      </c>
    </row>
    <row r="726" spans="1:9" x14ac:dyDescent="0.2">
      <c r="A726" s="2">
        <v>8</v>
      </c>
      <c r="B726" s="1" t="s">
        <v>133</v>
      </c>
      <c r="C726" s="4">
        <v>35</v>
      </c>
      <c r="D726" s="8">
        <v>1.88</v>
      </c>
      <c r="E726" s="4">
        <v>25</v>
      </c>
      <c r="F726" s="8">
        <v>2.12</v>
      </c>
      <c r="G726" s="4">
        <v>10</v>
      </c>
      <c r="H726" s="8">
        <v>1.53</v>
      </c>
      <c r="I726" s="4">
        <v>0</v>
      </c>
    </row>
    <row r="727" spans="1:9" x14ac:dyDescent="0.2">
      <c r="A727" s="2">
        <v>8</v>
      </c>
      <c r="B727" s="1" t="s">
        <v>140</v>
      </c>
      <c r="C727" s="4">
        <v>35</v>
      </c>
      <c r="D727" s="8">
        <v>1.88</v>
      </c>
      <c r="E727" s="4">
        <v>30</v>
      </c>
      <c r="F727" s="8">
        <v>2.5499999999999998</v>
      </c>
      <c r="G727" s="4">
        <v>5</v>
      </c>
      <c r="H727" s="8">
        <v>0.76</v>
      </c>
      <c r="I727" s="4">
        <v>0</v>
      </c>
    </row>
    <row r="728" spans="1:9" x14ac:dyDescent="0.2">
      <c r="A728" s="2">
        <v>10</v>
      </c>
      <c r="B728" s="1" t="s">
        <v>129</v>
      </c>
      <c r="C728" s="4">
        <v>33</v>
      </c>
      <c r="D728" s="8">
        <v>1.77</v>
      </c>
      <c r="E728" s="4">
        <v>25</v>
      </c>
      <c r="F728" s="8">
        <v>2.12</v>
      </c>
      <c r="G728" s="4">
        <v>8</v>
      </c>
      <c r="H728" s="8">
        <v>1.22</v>
      </c>
      <c r="I728" s="4">
        <v>0</v>
      </c>
    </row>
    <row r="729" spans="1:9" x14ac:dyDescent="0.2">
      <c r="A729" s="2">
        <v>10</v>
      </c>
      <c r="B729" s="1" t="s">
        <v>132</v>
      </c>
      <c r="C729" s="4">
        <v>33</v>
      </c>
      <c r="D729" s="8">
        <v>1.77</v>
      </c>
      <c r="E729" s="4">
        <v>19</v>
      </c>
      <c r="F729" s="8">
        <v>1.61</v>
      </c>
      <c r="G729" s="4">
        <v>14</v>
      </c>
      <c r="H729" s="8">
        <v>2.14</v>
      </c>
      <c r="I729" s="4">
        <v>0</v>
      </c>
    </row>
    <row r="730" spans="1:9" x14ac:dyDescent="0.2">
      <c r="A730" s="2">
        <v>12</v>
      </c>
      <c r="B730" s="1" t="s">
        <v>186</v>
      </c>
      <c r="C730" s="4">
        <v>32</v>
      </c>
      <c r="D730" s="8">
        <v>1.72</v>
      </c>
      <c r="E730" s="4">
        <v>22</v>
      </c>
      <c r="F730" s="8">
        <v>1.87</v>
      </c>
      <c r="G730" s="4">
        <v>10</v>
      </c>
      <c r="H730" s="8">
        <v>1.53</v>
      </c>
      <c r="I730" s="4">
        <v>0</v>
      </c>
    </row>
    <row r="731" spans="1:9" x14ac:dyDescent="0.2">
      <c r="A731" s="2">
        <v>12</v>
      </c>
      <c r="B731" s="1" t="s">
        <v>128</v>
      </c>
      <c r="C731" s="4">
        <v>32</v>
      </c>
      <c r="D731" s="8">
        <v>1.72</v>
      </c>
      <c r="E731" s="4">
        <v>17</v>
      </c>
      <c r="F731" s="8">
        <v>1.44</v>
      </c>
      <c r="G731" s="4">
        <v>15</v>
      </c>
      <c r="H731" s="8">
        <v>2.29</v>
      </c>
      <c r="I731" s="4">
        <v>0</v>
      </c>
    </row>
    <row r="732" spans="1:9" x14ac:dyDescent="0.2">
      <c r="A732" s="2">
        <v>14</v>
      </c>
      <c r="B732" s="1" t="s">
        <v>159</v>
      </c>
      <c r="C732" s="4">
        <v>30</v>
      </c>
      <c r="D732" s="8">
        <v>1.61</v>
      </c>
      <c r="E732" s="4">
        <v>21</v>
      </c>
      <c r="F732" s="8">
        <v>1.78</v>
      </c>
      <c r="G732" s="4">
        <v>9</v>
      </c>
      <c r="H732" s="8">
        <v>1.37</v>
      </c>
      <c r="I732" s="4">
        <v>0</v>
      </c>
    </row>
    <row r="733" spans="1:9" x14ac:dyDescent="0.2">
      <c r="A733" s="2">
        <v>14</v>
      </c>
      <c r="B733" s="1" t="s">
        <v>151</v>
      </c>
      <c r="C733" s="4">
        <v>30</v>
      </c>
      <c r="D733" s="8">
        <v>1.61</v>
      </c>
      <c r="E733" s="4">
        <v>26</v>
      </c>
      <c r="F733" s="8">
        <v>2.21</v>
      </c>
      <c r="G733" s="4">
        <v>4</v>
      </c>
      <c r="H733" s="8">
        <v>0.61</v>
      </c>
      <c r="I733" s="4">
        <v>0</v>
      </c>
    </row>
    <row r="734" spans="1:9" x14ac:dyDescent="0.2">
      <c r="A734" s="2">
        <v>16</v>
      </c>
      <c r="B734" s="1" t="s">
        <v>125</v>
      </c>
      <c r="C734" s="4">
        <v>28</v>
      </c>
      <c r="D734" s="8">
        <v>1.5</v>
      </c>
      <c r="E734" s="4">
        <v>18</v>
      </c>
      <c r="F734" s="8">
        <v>1.53</v>
      </c>
      <c r="G734" s="4">
        <v>10</v>
      </c>
      <c r="H734" s="8">
        <v>1.53</v>
      </c>
      <c r="I734" s="4">
        <v>0</v>
      </c>
    </row>
    <row r="735" spans="1:9" x14ac:dyDescent="0.2">
      <c r="A735" s="2">
        <v>16</v>
      </c>
      <c r="B735" s="1" t="s">
        <v>136</v>
      </c>
      <c r="C735" s="4">
        <v>28</v>
      </c>
      <c r="D735" s="8">
        <v>1.5</v>
      </c>
      <c r="E735" s="4">
        <v>28</v>
      </c>
      <c r="F735" s="8">
        <v>2.38</v>
      </c>
      <c r="G735" s="4">
        <v>0</v>
      </c>
      <c r="H735" s="8">
        <v>0</v>
      </c>
      <c r="I735" s="4">
        <v>0</v>
      </c>
    </row>
    <row r="736" spans="1:9" x14ac:dyDescent="0.2">
      <c r="A736" s="2">
        <v>18</v>
      </c>
      <c r="B736" s="1" t="s">
        <v>190</v>
      </c>
      <c r="C736" s="4">
        <v>25</v>
      </c>
      <c r="D736" s="8">
        <v>1.34</v>
      </c>
      <c r="E736" s="4">
        <v>24</v>
      </c>
      <c r="F736" s="8">
        <v>2.04</v>
      </c>
      <c r="G736" s="4">
        <v>1</v>
      </c>
      <c r="H736" s="8">
        <v>0.15</v>
      </c>
      <c r="I736" s="4">
        <v>0</v>
      </c>
    </row>
    <row r="737" spans="1:9" x14ac:dyDescent="0.2">
      <c r="A737" s="2">
        <v>19</v>
      </c>
      <c r="B737" s="1" t="s">
        <v>139</v>
      </c>
      <c r="C737" s="4">
        <v>24</v>
      </c>
      <c r="D737" s="8">
        <v>1.29</v>
      </c>
      <c r="E737" s="4">
        <v>20</v>
      </c>
      <c r="F737" s="8">
        <v>1.7</v>
      </c>
      <c r="G737" s="4">
        <v>4</v>
      </c>
      <c r="H737" s="8">
        <v>0.61</v>
      </c>
      <c r="I737" s="4">
        <v>0</v>
      </c>
    </row>
    <row r="738" spans="1:9" x14ac:dyDescent="0.2">
      <c r="A738" s="2">
        <v>20</v>
      </c>
      <c r="B738" s="1" t="s">
        <v>172</v>
      </c>
      <c r="C738" s="4">
        <v>23</v>
      </c>
      <c r="D738" s="8">
        <v>1.23</v>
      </c>
      <c r="E738" s="4">
        <v>8</v>
      </c>
      <c r="F738" s="8">
        <v>0.68</v>
      </c>
      <c r="G738" s="4">
        <v>15</v>
      </c>
      <c r="H738" s="8">
        <v>2.29</v>
      </c>
      <c r="I738" s="4">
        <v>0</v>
      </c>
    </row>
    <row r="739" spans="1:9" x14ac:dyDescent="0.2">
      <c r="A739" s="2">
        <v>20</v>
      </c>
      <c r="B739" s="1" t="s">
        <v>144</v>
      </c>
      <c r="C739" s="4">
        <v>23</v>
      </c>
      <c r="D739" s="8">
        <v>1.23</v>
      </c>
      <c r="E739" s="4">
        <v>10</v>
      </c>
      <c r="F739" s="8">
        <v>0.85</v>
      </c>
      <c r="G739" s="4">
        <v>13</v>
      </c>
      <c r="H739" s="8">
        <v>1.98</v>
      </c>
      <c r="I739" s="4">
        <v>0</v>
      </c>
    </row>
    <row r="740" spans="1:9" x14ac:dyDescent="0.2">
      <c r="A740" s="1"/>
      <c r="C740" s="4"/>
      <c r="D740" s="8"/>
      <c r="E740" s="4"/>
      <c r="F740" s="8"/>
      <c r="G740" s="4"/>
      <c r="H740" s="8"/>
      <c r="I740" s="4"/>
    </row>
    <row r="741" spans="1:9" x14ac:dyDescent="0.2">
      <c r="A741" s="1" t="s">
        <v>33</v>
      </c>
      <c r="C741" s="4"/>
      <c r="D741" s="8"/>
      <c r="E741" s="4"/>
      <c r="F741" s="8"/>
      <c r="G741" s="4"/>
      <c r="H741" s="8"/>
      <c r="I741" s="4"/>
    </row>
    <row r="742" spans="1:9" x14ac:dyDescent="0.2">
      <c r="A742" s="2">
        <v>1</v>
      </c>
      <c r="B742" s="1" t="s">
        <v>132</v>
      </c>
      <c r="C742" s="4">
        <v>70</v>
      </c>
      <c r="D742" s="8">
        <v>4.45</v>
      </c>
      <c r="E742" s="4">
        <v>54</v>
      </c>
      <c r="F742" s="8">
        <v>4.9800000000000004</v>
      </c>
      <c r="G742" s="4">
        <v>16</v>
      </c>
      <c r="H742" s="8">
        <v>3.4</v>
      </c>
      <c r="I742" s="4">
        <v>0</v>
      </c>
    </row>
    <row r="743" spans="1:9" x14ac:dyDescent="0.2">
      <c r="A743" s="2">
        <v>2</v>
      </c>
      <c r="B743" s="1" t="s">
        <v>138</v>
      </c>
      <c r="C743" s="4">
        <v>68</v>
      </c>
      <c r="D743" s="8">
        <v>4.32</v>
      </c>
      <c r="E743" s="4">
        <v>67</v>
      </c>
      <c r="F743" s="8">
        <v>6.18</v>
      </c>
      <c r="G743" s="4">
        <v>1</v>
      </c>
      <c r="H743" s="8">
        <v>0.21</v>
      </c>
      <c r="I743" s="4">
        <v>0</v>
      </c>
    </row>
    <row r="744" spans="1:9" x14ac:dyDescent="0.2">
      <c r="A744" s="2">
        <v>3</v>
      </c>
      <c r="B744" s="1" t="s">
        <v>192</v>
      </c>
      <c r="C744" s="4">
        <v>67</v>
      </c>
      <c r="D744" s="8">
        <v>4.26</v>
      </c>
      <c r="E744" s="4">
        <v>48</v>
      </c>
      <c r="F744" s="8">
        <v>4.42</v>
      </c>
      <c r="G744" s="4">
        <v>19</v>
      </c>
      <c r="H744" s="8">
        <v>4.03</v>
      </c>
      <c r="I744" s="4">
        <v>0</v>
      </c>
    </row>
    <row r="745" spans="1:9" x14ac:dyDescent="0.2">
      <c r="A745" s="2">
        <v>4</v>
      </c>
      <c r="B745" s="1" t="s">
        <v>137</v>
      </c>
      <c r="C745" s="4">
        <v>50</v>
      </c>
      <c r="D745" s="8">
        <v>3.18</v>
      </c>
      <c r="E745" s="4">
        <v>50</v>
      </c>
      <c r="F745" s="8">
        <v>4.6100000000000003</v>
      </c>
      <c r="G745" s="4">
        <v>0</v>
      </c>
      <c r="H745" s="8">
        <v>0</v>
      </c>
      <c r="I745" s="4">
        <v>0</v>
      </c>
    </row>
    <row r="746" spans="1:9" x14ac:dyDescent="0.2">
      <c r="A746" s="2">
        <v>5</v>
      </c>
      <c r="B746" s="1" t="s">
        <v>136</v>
      </c>
      <c r="C746" s="4">
        <v>43</v>
      </c>
      <c r="D746" s="8">
        <v>2.73</v>
      </c>
      <c r="E746" s="4">
        <v>43</v>
      </c>
      <c r="F746" s="8">
        <v>3.96</v>
      </c>
      <c r="G746" s="4">
        <v>0</v>
      </c>
      <c r="H746" s="8">
        <v>0</v>
      </c>
      <c r="I746" s="4">
        <v>0</v>
      </c>
    </row>
    <row r="747" spans="1:9" x14ac:dyDescent="0.2">
      <c r="A747" s="2">
        <v>6</v>
      </c>
      <c r="B747" s="1" t="s">
        <v>165</v>
      </c>
      <c r="C747" s="4">
        <v>38</v>
      </c>
      <c r="D747" s="8">
        <v>2.42</v>
      </c>
      <c r="E747" s="4">
        <v>35</v>
      </c>
      <c r="F747" s="8">
        <v>3.23</v>
      </c>
      <c r="G747" s="4">
        <v>3</v>
      </c>
      <c r="H747" s="8">
        <v>0.64</v>
      </c>
      <c r="I747" s="4">
        <v>0</v>
      </c>
    </row>
    <row r="748" spans="1:9" x14ac:dyDescent="0.2">
      <c r="A748" s="2">
        <v>7</v>
      </c>
      <c r="B748" s="1" t="s">
        <v>129</v>
      </c>
      <c r="C748" s="4">
        <v>36</v>
      </c>
      <c r="D748" s="8">
        <v>2.29</v>
      </c>
      <c r="E748" s="4">
        <v>29</v>
      </c>
      <c r="F748" s="8">
        <v>2.67</v>
      </c>
      <c r="G748" s="4">
        <v>7</v>
      </c>
      <c r="H748" s="8">
        <v>1.49</v>
      </c>
      <c r="I748" s="4">
        <v>0</v>
      </c>
    </row>
    <row r="749" spans="1:9" x14ac:dyDescent="0.2">
      <c r="A749" s="2">
        <v>8</v>
      </c>
      <c r="B749" s="1" t="s">
        <v>122</v>
      </c>
      <c r="C749" s="4">
        <v>32</v>
      </c>
      <c r="D749" s="8">
        <v>2.0299999999999998</v>
      </c>
      <c r="E749" s="4">
        <v>9</v>
      </c>
      <c r="F749" s="8">
        <v>0.83</v>
      </c>
      <c r="G749" s="4">
        <v>23</v>
      </c>
      <c r="H749" s="8">
        <v>4.88</v>
      </c>
      <c r="I749" s="4">
        <v>0</v>
      </c>
    </row>
    <row r="750" spans="1:9" x14ac:dyDescent="0.2">
      <c r="A750" s="2">
        <v>9</v>
      </c>
      <c r="B750" s="1" t="s">
        <v>123</v>
      </c>
      <c r="C750" s="4">
        <v>30</v>
      </c>
      <c r="D750" s="8">
        <v>1.91</v>
      </c>
      <c r="E750" s="4">
        <v>12</v>
      </c>
      <c r="F750" s="8">
        <v>1.1100000000000001</v>
      </c>
      <c r="G750" s="4">
        <v>18</v>
      </c>
      <c r="H750" s="8">
        <v>3.82</v>
      </c>
      <c r="I750" s="4">
        <v>0</v>
      </c>
    </row>
    <row r="751" spans="1:9" x14ac:dyDescent="0.2">
      <c r="A751" s="2">
        <v>10</v>
      </c>
      <c r="B751" s="1" t="s">
        <v>126</v>
      </c>
      <c r="C751" s="4">
        <v>29</v>
      </c>
      <c r="D751" s="8">
        <v>1.84</v>
      </c>
      <c r="E751" s="4">
        <v>23</v>
      </c>
      <c r="F751" s="8">
        <v>2.12</v>
      </c>
      <c r="G751" s="4">
        <v>6</v>
      </c>
      <c r="H751" s="8">
        <v>1.27</v>
      </c>
      <c r="I751" s="4">
        <v>0</v>
      </c>
    </row>
    <row r="752" spans="1:9" x14ac:dyDescent="0.2">
      <c r="A752" s="2">
        <v>10</v>
      </c>
      <c r="B752" s="1" t="s">
        <v>133</v>
      </c>
      <c r="C752" s="4">
        <v>29</v>
      </c>
      <c r="D752" s="8">
        <v>1.84</v>
      </c>
      <c r="E752" s="4">
        <v>26</v>
      </c>
      <c r="F752" s="8">
        <v>2.4</v>
      </c>
      <c r="G752" s="4">
        <v>3</v>
      </c>
      <c r="H752" s="8">
        <v>0.64</v>
      </c>
      <c r="I752" s="4">
        <v>0</v>
      </c>
    </row>
    <row r="753" spans="1:9" x14ac:dyDescent="0.2">
      <c r="A753" s="2">
        <v>12</v>
      </c>
      <c r="B753" s="1" t="s">
        <v>153</v>
      </c>
      <c r="C753" s="4">
        <v>28</v>
      </c>
      <c r="D753" s="8">
        <v>1.78</v>
      </c>
      <c r="E753" s="4">
        <v>10</v>
      </c>
      <c r="F753" s="8">
        <v>0.92</v>
      </c>
      <c r="G753" s="4">
        <v>18</v>
      </c>
      <c r="H753" s="8">
        <v>3.82</v>
      </c>
      <c r="I753" s="4">
        <v>0</v>
      </c>
    </row>
    <row r="754" spans="1:9" x14ac:dyDescent="0.2">
      <c r="A754" s="2">
        <v>12</v>
      </c>
      <c r="B754" s="1" t="s">
        <v>127</v>
      </c>
      <c r="C754" s="4">
        <v>28</v>
      </c>
      <c r="D754" s="8">
        <v>1.78</v>
      </c>
      <c r="E754" s="4">
        <v>22</v>
      </c>
      <c r="F754" s="8">
        <v>2.0299999999999998</v>
      </c>
      <c r="G754" s="4">
        <v>6</v>
      </c>
      <c r="H754" s="8">
        <v>1.27</v>
      </c>
      <c r="I754" s="4">
        <v>0</v>
      </c>
    </row>
    <row r="755" spans="1:9" x14ac:dyDescent="0.2">
      <c r="A755" s="2">
        <v>14</v>
      </c>
      <c r="B755" s="1" t="s">
        <v>140</v>
      </c>
      <c r="C755" s="4">
        <v>27</v>
      </c>
      <c r="D755" s="8">
        <v>1.72</v>
      </c>
      <c r="E755" s="4">
        <v>24</v>
      </c>
      <c r="F755" s="8">
        <v>2.21</v>
      </c>
      <c r="G755" s="4">
        <v>3</v>
      </c>
      <c r="H755" s="8">
        <v>0.64</v>
      </c>
      <c r="I755" s="4">
        <v>0</v>
      </c>
    </row>
    <row r="756" spans="1:9" x14ac:dyDescent="0.2">
      <c r="A756" s="2">
        <v>15</v>
      </c>
      <c r="B756" s="1" t="s">
        <v>151</v>
      </c>
      <c r="C756" s="4">
        <v>26</v>
      </c>
      <c r="D756" s="8">
        <v>1.65</v>
      </c>
      <c r="E756" s="4">
        <v>24</v>
      </c>
      <c r="F756" s="8">
        <v>2.21</v>
      </c>
      <c r="G756" s="4">
        <v>2</v>
      </c>
      <c r="H756" s="8">
        <v>0.42</v>
      </c>
      <c r="I756" s="4">
        <v>0</v>
      </c>
    </row>
    <row r="757" spans="1:9" x14ac:dyDescent="0.2">
      <c r="A757" s="2">
        <v>15</v>
      </c>
      <c r="B757" s="1" t="s">
        <v>171</v>
      </c>
      <c r="C757" s="4">
        <v>26</v>
      </c>
      <c r="D757" s="8">
        <v>1.65</v>
      </c>
      <c r="E757" s="4">
        <v>24</v>
      </c>
      <c r="F757" s="8">
        <v>2.21</v>
      </c>
      <c r="G757" s="4">
        <v>2</v>
      </c>
      <c r="H757" s="8">
        <v>0.42</v>
      </c>
      <c r="I757" s="4">
        <v>0</v>
      </c>
    </row>
    <row r="758" spans="1:9" x14ac:dyDescent="0.2">
      <c r="A758" s="2">
        <v>15</v>
      </c>
      <c r="B758" s="1" t="s">
        <v>141</v>
      </c>
      <c r="C758" s="4">
        <v>26</v>
      </c>
      <c r="D758" s="8">
        <v>1.65</v>
      </c>
      <c r="E758" s="4">
        <v>25</v>
      </c>
      <c r="F758" s="8">
        <v>2.2999999999999998</v>
      </c>
      <c r="G758" s="4">
        <v>1</v>
      </c>
      <c r="H758" s="8">
        <v>0.21</v>
      </c>
      <c r="I758" s="4">
        <v>0</v>
      </c>
    </row>
    <row r="759" spans="1:9" x14ac:dyDescent="0.2">
      <c r="A759" s="2">
        <v>18</v>
      </c>
      <c r="B759" s="1" t="s">
        <v>193</v>
      </c>
      <c r="C759" s="4">
        <v>25</v>
      </c>
      <c r="D759" s="8">
        <v>1.59</v>
      </c>
      <c r="E759" s="4">
        <v>5</v>
      </c>
      <c r="F759" s="8">
        <v>0.46</v>
      </c>
      <c r="G759" s="4">
        <v>20</v>
      </c>
      <c r="H759" s="8">
        <v>4.25</v>
      </c>
      <c r="I759" s="4">
        <v>0</v>
      </c>
    </row>
    <row r="760" spans="1:9" x14ac:dyDescent="0.2">
      <c r="A760" s="2">
        <v>19</v>
      </c>
      <c r="B760" s="1" t="s">
        <v>191</v>
      </c>
      <c r="C760" s="4">
        <v>23</v>
      </c>
      <c r="D760" s="8">
        <v>1.46</v>
      </c>
      <c r="E760" s="4">
        <v>15</v>
      </c>
      <c r="F760" s="8">
        <v>1.38</v>
      </c>
      <c r="G760" s="4">
        <v>8</v>
      </c>
      <c r="H760" s="8">
        <v>1.7</v>
      </c>
      <c r="I760" s="4">
        <v>0</v>
      </c>
    </row>
    <row r="761" spans="1:9" x14ac:dyDescent="0.2">
      <c r="A761" s="2">
        <v>19</v>
      </c>
      <c r="B761" s="1" t="s">
        <v>125</v>
      </c>
      <c r="C761" s="4">
        <v>23</v>
      </c>
      <c r="D761" s="8">
        <v>1.46</v>
      </c>
      <c r="E761" s="4">
        <v>20</v>
      </c>
      <c r="F761" s="8">
        <v>1.84</v>
      </c>
      <c r="G761" s="4">
        <v>3</v>
      </c>
      <c r="H761" s="8">
        <v>0.64</v>
      </c>
      <c r="I761" s="4">
        <v>0</v>
      </c>
    </row>
    <row r="762" spans="1:9" x14ac:dyDescent="0.2">
      <c r="A762" s="2">
        <v>19</v>
      </c>
      <c r="B762" s="1" t="s">
        <v>154</v>
      </c>
      <c r="C762" s="4">
        <v>23</v>
      </c>
      <c r="D762" s="8">
        <v>1.46</v>
      </c>
      <c r="E762" s="4">
        <v>21</v>
      </c>
      <c r="F762" s="8">
        <v>1.94</v>
      </c>
      <c r="G762" s="4">
        <v>2</v>
      </c>
      <c r="H762" s="8">
        <v>0.42</v>
      </c>
      <c r="I762" s="4">
        <v>0</v>
      </c>
    </row>
    <row r="763" spans="1:9" x14ac:dyDescent="0.2">
      <c r="A763" s="1"/>
      <c r="C763" s="4"/>
      <c r="D763" s="8"/>
      <c r="E763" s="4"/>
      <c r="F763" s="8"/>
      <c r="G763" s="4"/>
      <c r="H763" s="8"/>
      <c r="I763" s="4"/>
    </row>
    <row r="764" spans="1:9" x14ac:dyDescent="0.2">
      <c r="A764" s="1" t="s">
        <v>34</v>
      </c>
      <c r="C764" s="4"/>
      <c r="D764" s="8"/>
      <c r="E764" s="4"/>
      <c r="F764" s="8"/>
      <c r="G764" s="4"/>
      <c r="H764" s="8"/>
      <c r="I764" s="4"/>
    </row>
    <row r="765" spans="1:9" x14ac:dyDescent="0.2">
      <c r="A765" s="2">
        <v>1</v>
      </c>
      <c r="B765" s="1" t="s">
        <v>138</v>
      </c>
      <c r="C765" s="4">
        <v>60</v>
      </c>
      <c r="D765" s="8">
        <v>6.4</v>
      </c>
      <c r="E765" s="4">
        <v>60</v>
      </c>
      <c r="F765" s="8">
        <v>10.49</v>
      </c>
      <c r="G765" s="4">
        <v>0</v>
      </c>
      <c r="H765" s="8">
        <v>0</v>
      </c>
      <c r="I765" s="4">
        <v>0</v>
      </c>
    </row>
    <row r="766" spans="1:9" x14ac:dyDescent="0.2">
      <c r="A766" s="2">
        <v>2</v>
      </c>
      <c r="B766" s="1" t="s">
        <v>132</v>
      </c>
      <c r="C766" s="4">
        <v>40</v>
      </c>
      <c r="D766" s="8">
        <v>4.26</v>
      </c>
      <c r="E766" s="4">
        <v>31</v>
      </c>
      <c r="F766" s="8">
        <v>5.42</v>
      </c>
      <c r="G766" s="4">
        <v>9</v>
      </c>
      <c r="H766" s="8">
        <v>2.63</v>
      </c>
      <c r="I766" s="4">
        <v>0</v>
      </c>
    </row>
    <row r="767" spans="1:9" x14ac:dyDescent="0.2">
      <c r="A767" s="2">
        <v>3</v>
      </c>
      <c r="B767" s="1" t="s">
        <v>122</v>
      </c>
      <c r="C767" s="4">
        <v>39</v>
      </c>
      <c r="D767" s="8">
        <v>4.16</v>
      </c>
      <c r="E767" s="4">
        <v>10</v>
      </c>
      <c r="F767" s="8">
        <v>1.75</v>
      </c>
      <c r="G767" s="4">
        <v>29</v>
      </c>
      <c r="H767" s="8">
        <v>8.48</v>
      </c>
      <c r="I767" s="4">
        <v>0</v>
      </c>
    </row>
    <row r="768" spans="1:9" x14ac:dyDescent="0.2">
      <c r="A768" s="2">
        <v>4</v>
      </c>
      <c r="B768" s="1" t="s">
        <v>136</v>
      </c>
      <c r="C768" s="4">
        <v>30</v>
      </c>
      <c r="D768" s="8">
        <v>3.2</v>
      </c>
      <c r="E768" s="4">
        <v>28</v>
      </c>
      <c r="F768" s="8">
        <v>4.9000000000000004</v>
      </c>
      <c r="G768" s="4">
        <v>2</v>
      </c>
      <c r="H768" s="8">
        <v>0.57999999999999996</v>
      </c>
      <c r="I768" s="4">
        <v>0</v>
      </c>
    </row>
    <row r="769" spans="1:9" x14ac:dyDescent="0.2">
      <c r="A769" s="2">
        <v>5</v>
      </c>
      <c r="B769" s="1" t="s">
        <v>127</v>
      </c>
      <c r="C769" s="4">
        <v>27</v>
      </c>
      <c r="D769" s="8">
        <v>2.88</v>
      </c>
      <c r="E769" s="4">
        <v>14</v>
      </c>
      <c r="F769" s="8">
        <v>2.4500000000000002</v>
      </c>
      <c r="G769" s="4">
        <v>13</v>
      </c>
      <c r="H769" s="8">
        <v>3.8</v>
      </c>
      <c r="I769" s="4">
        <v>0</v>
      </c>
    </row>
    <row r="770" spans="1:9" x14ac:dyDescent="0.2">
      <c r="A770" s="2">
        <v>5</v>
      </c>
      <c r="B770" s="1" t="s">
        <v>129</v>
      </c>
      <c r="C770" s="4">
        <v>27</v>
      </c>
      <c r="D770" s="8">
        <v>2.88</v>
      </c>
      <c r="E770" s="4">
        <v>17</v>
      </c>
      <c r="F770" s="8">
        <v>2.97</v>
      </c>
      <c r="G770" s="4">
        <v>10</v>
      </c>
      <c r="H770" s="8">
        <v>2.92</v>
      </c>
      <c r="I770" s="4">
        <v>0</v>
      </c>
    </row>
    <row r="771" spans="1:9" x14ac:dyDescent="0.2">
      <c r="A771" s="2">
        <v>7</v>
      </c>
      <c r="B771" s="1" t="s">
        <v>137</v>
      </c>
      <c r="C771" s="4">
        <v>26</v>
      </c>
      <c r="D771" s="8">
        <v>2.77</v>
      </c>
      <c r="E771" s="4">
        <v>25</v>
      </c>
      <c r="F771" s="8">
        <v>4.37</v>
      </c>
      <c r="G771" s="4">
        <v>1</v>
      </c>
      <c r="H771" s="8">
        <v>0.28999999999999998</v>
      </c>
      <c r="I771" s="4">
        <v>0</v>
      </c>
    </row>
    <row r="772" spans="1:9" x14ac:dyDescent="0.2">
      <c r="A772" s="2">
        <v>8</v>
      </c>
      <c r="B772" s="1" t="s">
        <v>140</v>
      </c>
      <c r="C772" s="4">
        <v>24</v>
      </c>
      <c r="D772" s="8">
        <v>2.56</v>
      </c>
      <c r="E772" s="4">
        <v>21</v>
      </c>
      <c r="F772" s="8">
        <v>3.67</v>
      </c>
      <c r="G772" s="4">
        <v>3</v>
      </c>
      <c r="H772" s="8">
        <v>0.88</v>
      </c>
      <c r="I772" s="4">
        <v>0</v>
      </c>
    </row>
    <row r="773" spans="1:9" x14ac:dyDescent="0.2">
      <c r="A773" s="2">
        <v>9</v>
      </c>
      <c r="B773" s="1" t="s">
        <v>169</v>
      </c>
      <c r="C773" s="4">
        <v>18</v>
      </c>
      <c r="D773" s="8">
        <v>1.92</v>
      </c>
      <c r="E773" s="4">
        <v>8</v>
      </c>
      <c r="F773" s="8">
        <v>1.4</v>
      </c>
      <c r="G773" s="4">
        <v>10</v>
      </c>
      <c r="H773" s="8">
        <v>2.92</v>
      </c>
      <c r="I773" s="4">
        <v>0</v>
      </c>
    </row>
    <row r="774" spans="1:9" x14ac:dyDescent="0.2">
      <c r="A774" s="2">
        <v>9</v>
      </c>
      <c r="B774" s="1" t="s">
        <v>133</v>
      </c>
      <c r="C774" s="4">
        <v>18</v>
      </c>
      <c r="D774" s="8">
        <v>1.92</v>
      </c>
      <c r="E774" s="4">
        <v>14</v>
      </c>
      <c r="F774" s="8">
        <v>2.4500000000000002</v>
      </c>
      <c r="G774" s="4">
        <v>4</v>
      </c>
      <c r="H774" s="8">
        <v>1.17</v>
      </c>
      <c r="I774" s="4">
        <v>0</v>
      </c>
    </row>
    <row r="775" spans="1:9" x14ac:dyDescent="0.2">
      <c r="A775" s="2">
        <v>11</v>
      </c>
      <c r="B775" s="1" t="s">
        <v>124</v>
      </c>
      <c r="C775" s="4">
        <v>17</v>
      </c>
      <c r="D775" s="8">
        <v>1.81</v>
      </c>
      <c r="E775" s="4">
        <v>7</v>
      </c>
      <c r="F775" s="8">
        <v>1.22</v>
      </c>
      <c r="G775" s="4">
        <v>10</v>
      </c>
      <c r="H775" s="8">
        <v>2.92</v>
      </c>
      <c r="I775" s="4">
        <v>0</v>
      </c>
    </row>
    <row r="776" spans="1:9" x14ac:dyDescent="0.2">
      <c r="A776" s="2">
        <v>11</v>
      </c>
      <c r="B776" s="1" t="s">
        <v>128</v>
      </c>
      <c r="C776" s="4">
        <v>17</v>
      </c>
      <c r="D776" s="8">
        <v>1.81</v>
      </c>
      <c r="E776" s="4">
        <v>10</v>
      </c>
      <c r="F776" s="8">
        <v>1.75</v>
      </c>
      <c r="G776" s="4">
        <v>7</v>
      </c>
      <c r="H776" s="8">
        <v>2.0499999999999998</v>
      </c>
      <c r="I776" s="4">
        <v>0</v>
      </c>
    </row>
    <row r="777" spans="1:9" x14ac:dyDescent="0.2">
      <c r="A777" s="2">
        <v>13</v>
      </c>
      <c r="B777" s="1" t="s">
        <v>125</v>
      </c>
      <c r="C777" s="4">
        <v>15</v>
      </c>
      <c r="D777" s="8">
        <v>1.6</v>
      </c>
      <c r="E777" s="4">
        <v>9</v>
      </c>
      <c r="F777" s="8">
        <v>1.57</v>
      </c>
      <c r="G777" s="4">
        <v>6</v>
      </c>
      <c r="H777" s="8">
        <v>1.75</v>
      </c>
      <c r="I777" s="4">
        <v>0</v>
      </c>
    </row>
    <row r="778" spans="1:9" x14ac:dyDescent="0.2">
      <c r="A778" s="2">
        <v>13</v>
      </c>
      <c r="B778" s="1" t="s">
        <v>135</v>
      </c>
      <c r="C778" s="4">
        <v>15</v>
      </c>
      <c r="D778" s="8">
        <v>1.6</v>
      </c>
      <c r="E778" s="4">
        <v>15</v>
      </c>
      <c r="F778" s="8">
        <v>2.62</v>
      </c>
      <c r="G778" s="4">
        <v>0</v>
      </c>
      <c r="H778" s="8">
        <v>0</v>
      </c>
      <c r="I778" s="4">
        <v>0</v>
      </c>
    </row>
    <row r="779" spans="1:9" x14ac:dyDescent="0.2">
      <c r="A779" s="2">
        <v>15</v>
      </c>
      <c r="B779" s="1" t="s">
        <v>186</v>
      </c>
      <c r="C779" s="4">
        <v>14</v>
      </c>
      <c r="D779" s="8">
        <v>1.49</v>
      </c>
      <c r="E779" s="4">
        <v>11</v>
      </c>
      <c r="F779" s="8">
        <v>1.92</v>
      </c>
      <c r="G779" s="4">
        <v>3</v>
      </c>
      <c r="H779" s="8">
        <v>0.88</v>
      </c>
      <c r="I779" s="4">
        <v>0</v>
      </c>
    </row>
    <row r="780" spans="1:9" x14ac:dyDescent="0.2">
      <c r="A780" s="2">
        <v>15</v>
      </c>
      <c r="B780" s="1" t="s">
        <v>144</v>
      </c>
      <c r="C780" s="4">
        <v>14</v>
      </c>
      <c r="D780" s="8">
        <v>1.49</v>
      </c>
      <c r="E780" s="4">
        <v>6</v>
      </c>
      <c r="F780" s="8">
        <v>1.05</v>
      </c>
      <c r="G780" s="4">
        <v>7</v>
      </c>
      <c r="H780" s="8">
        <v>2.0499999999999998</v>
      </c>
      <c r="I780" s="4">
        <v>0</v>
      </c>
    </row>
    <row r="781" spans="1:9" x14ac:dyDescent="0.2">
      <c r="A781" s="2">
        <v>15</v>
      </c>
      <c r="B781" s="1" t="s">
        <v>134</v>
      </c>
      <c r="C781" s="4">
        <v>14</v>
      </c>
      <c r="D781" s="8">
        <v>1.49</v>
      </c>
      <c r="E781" s="4">
        <v>13</v>
      </c>
      <c r="F781" s="8">
        <v>2.27</v>
      </c>
      <c r="G781" s="4">
        <v>1</v>
      </c>
      <c r="H781" s="8">
        <v>0.28999999999999998</v>
      </c>
      <c r="I781" s="4">
        <v>0</v>
      </c>
    </row>
    <row r="782" spans="1:9" x14ac:dyDescent="0.2">
      <c r="A782" s="2">
        <v>18</v>
      </c>
      <c r="B782" s="1" t="s">
        <v>123</v>
      </c>
      <c r="C782" s="4">
        <v>13</v>
      </c>
      <c r="D782" s="8">
        <v>1.39</v>
      </c>
      <c r="E782" s="4">
        <v>7</v>
      </c>
      <c r="F782" s="8">
        <v>1.22</v>
      </c>
      <c r="G782" s="4">
        <v>6</v>
      </c>
      <c r="H782" s="8">
        <v>1.75</v>
      </c>
      <c r="I782" s="4">
        <v>0</v>
      </c>
    </row>
    <row r="783" spans="1:9" x14ac:dyDescent="0.2">
      <c r="A783" s="2">
        <v>18</v>
      </c>
      <c r="B783" s="1" t="s">
        <v>141</v>
      </c>
      <c r="C783" s="4">
        <v>13</v>
      </c>
      <c r="D783" s="8">
        <v>1.39</v>
      </c>
      <c r="E783" s="4">
        <v>12</v>
      </c>
      <c r="F783" s="8">
        <v>2.1</v>
      </c>
      <c r="G783" s="4">
        <v>1</v>
      </c>
      <c r="H783" s="8">
        <v>0.28999999999999998</v>
      </c>
      <c r="I783" s="4">
        <v>0</v>
      </c>
    </row>
    <row r="784" spans="1:9" x14ac:dyDescent="0.2">
      <c r="A784" s="2">
        <v>20</v>
      </c>
      <c r="B784" s="1" t="s">
        <v>126</v>
      </c>
      <c r="C784" s="4">
        <v>12</v>
      </c>
      <c r="D784" s="8">
        <v>1.28</v>
      </c>
      <c r="E784" s="4">
        <v>8</v>
      </c>
      <c r="F784" s="8">
        <v>1.4</v>
      </c>
      <c r="G784" s="4">
        <v>3</v>
      </c>
      <c r="H784" s="8">
        <v>0.88</v>
      </c>
      <c r="I784" s="4">
        <v>1</v>
      </c>
    </row>
    <row r="785" spans="1:9" x14ac:dyDescent="0.2">
      <c r="A785" s="2">
        <v>20</v>
      </c>
      <c r="B785" s="1" t="s">
        <v>188</v>
      </c>
      <c r="C785" s="4">
        <v>12</v>
      </c>
      <c r="D785" s="8">
        <v>1.28</v>
      </c>
      <c r="E785" s="4">
        <v>9</v>
      </c>
      <c r="F785" s="8">
        <v>1.57</v>
      </c>
      <c r="G785" s="4">
        <v>3</v>
      </c>
      <c r="H785" s="8">
        <v>0.88</v>
      </c>
      <c r="I785" s="4">
        <v>0</v>
      </c>
    </row>
    <row r="786" spans="1:9" x14ac:dyDescent="0.2">
      <c r="A786" s="2">
        <v>20</v>
      </c>
      <c r="B786" s="1" t="s">
        <v>165</v>
      </c>
      <c r="C786" s="4">
        <v>12</v>
      </c>
      <c r="D786" s="8">
        <v>1.28</v>
      </c>
      <c r="E786" s="4">
        <v>8</v>
      </c>
      <c r="F786" s="8">
        <v>1.4</v>
      </c>
      <c r="G786" s="4">
        <v>4</v>
      </c>
      <c r="H786" s="8">
        <v>1.17</v>
      </c>
      <c r="I786" s="4">
        <v>0</v>
      </c>
    </row>
    <row r="787" spans="1:9" x14ac:dyDescent="0.2">
      <c r="A787" s="1"/>
      <c r="C787" s="4"/>
      <c r="D787" s="8"/>
      <c r="E787" s="4"/>
      <c r="F787" s="8"/>
      <c r="G787" s="4"/>
      <c r="H787" s="8"/>
      <c r="I787" s="4"/>
    </row>
    <row r="788" spans="1:9" x14ac:dyDescent="0.2">
      <c r="A788" s="1" t="s">
        <v>35</v>
      </c>
      <c r="C788" s="4"/>
      <c r="D788" s="8"/>
      <c r="E788" s="4"/>
      <c r="F788" s="8"/>
      <c r="G788" s="4"/>
      <c r="H788" s="8"/>
      <c r="I788" s="4"/>
    </row>
    <row r="789" spans="1:9" x14ac:dyDescent="0.2">
      <c r="A789" s="2">
        <v>1</v>
      </c>
      <c r="B789" s="1" t="s">
        <v>122</v>
      </c>
      <c r="C789" s="4">
        <v>55</v>
      </c>
      <c r="D789" s="8">
        <v>4.57</v>
      </c>
      <c r="E789" s="4">
        <v>12</v>
      </c>
      <c r="F789" s="8">
        <v>1.5</v>
      </c>
      <c r="G789" s="4">
        <v>43</v>
      </c>
      <c r="H789" s="8">
        <v>11.03</v>
      </c>
      <c r="I789" s="4">
        <v>0</v>
      </c>
    </row>
    <row r="790" spans="1:9" x14ac:dyDescent="0.2">
      <c r="A790" s="2">
        <v>2</v>
      </c>
      <c r="B790" s="1" t="s">
        <v>194</v>
      </c>
      <c r="C790" s="4">
        <v>51</v>
      </c>
      <c r="D790" s="8">
        <v>4.24</v>
      </c>
      <c r="E790" s="4">
        <v>44</v>
      </c>
      <c r="F790" s="8">
        <v>5.51</v>
      </c>
      <c r="G790" s="4">
        <v>7</v>
      </c>
      <c r="H790" s="8">
        <v>1.79</v>
      </c>
      <c r="I790" s="4">
        <v>0</v>
      </c>
    </row>
    <row r="791" spans="1:9" x14ac:dyDescent="0.2">
      <c r="A791" s="2">
        <v>3</v>
      </c>
      <c r="B791" s="1" t="s">
        <v>138</v>
      </c>
      <c r="C791" s="4">
        <v>50</v>
      </c>
      <c r="D791" s="8">
        <v>4.1500000000000004</v>
      </c>
      <c r="E791" s="4">
        <v>47</v>
      </c>
      <c r="F791" s="8">
        <v>5.89</v>
      </c>
      <c r="G791" s="4">
        <v>3</v>
      </c>
      <c r="H791" s="8">
        <v>0.77</v>
      </c>
      <c r="I791" s="4">
        <v>0</v>
      </c>
    </row>
    <row r="792" spans="1:9" x14ac:dyDescent="0.2">
      <c r="A792" s="2">
        <v>4</v>
      </c>
      <c r="B792" s="1" t="s">
        <v>136</v>
      </c>
      <c r="C792" s="4">
        <v>45</v>
      </c>
      <c r="D792" s="8">
        <v>3.74</v>
      </c>
      <c r="E792" s="4">
        <v>43</v>
      </c>
      <c r="F792" s="8">
        <v>5.39</v>
      </c>
      <c r="G792" s="4">
        <v>2</v>
      </c>
      <c r="H792" s="8">
        <v>0.51</v>
      </c>
      <c r="I792" s="4">
        <v>0</v>
      </c>
    </row>
    <row r="793" spans="1:9" x14ac:dyDescent="0.2">
      <c r="A793" s="2">
        <v>5</v>
      </c>
      <c r="B793" s="1" t="s">
        <v>129</v>
      </c>
      <c r="C793" s="4">
        <v>39</v>
      </c>
      <c r="D793" s="8">
        <v>3.24</v>
      </c>
      <c r="E793" s="4">
        <v>30</v>
      </c>
      <c r="F793" s="8">
        <v>3.76</v>
      </c>
      <c r="G793" s="4">
        <v>9</v>
      </c>
      <c r="H793" s="8">
        <v>2.31</v>
      </c>
      <c r="I793" s="4">
        <v>0</v>
      </c>
    </row>
    <row r="794" spans="1:9" x14ac:dyDescent="0.2">
      <c r="A794" s="2">
        <v>6</v>
      </c>
      <c r="B794" s="1" t="s">
        <v>137</v>
      </c>
      <c r="C794" s="4">
        <v>38</v>
      </c>
      <c r="D794" s="8">
        <v>3.16</v>
      </c>
      <c r="E794" s="4">
        <v>38</v>
      </c>
      <c r="F794" s="8">
        <v>4.76</v>
      </c>
      <c r="G794" s="4">
        <v>0</v>
      </c>
      <c r="H794" s="8">
        <v>0</v>
      </c>
      <c r="I794" s="4">
        <v>0</v>
      </c>
    </row>
    <row r="795" spans="1:9" x14ac:dyDescent="0.2">
      <c r="A795" s="2">
        <v>7</v>
      </c>
      <c r="B795" s="1" t="s">
        <v>126</v>
      </c>
      <c r="C795" s="4">
        <v>32</v>
      </c>
      <c r="D795" s="8">
        <v>2.66</v>
      </c>
      <c r="E795" s="4">
        <v>29</v>
      </c>
      <c r="F795" s="8">
        <v>3.63</v>
      </c>
      <c r="G795" s="4">
        <v>3</v>
      </c>
      <c r="H795" s="8">
        <v>0.77</v>
      </c>
      <c r="I795" s="4">
        <v>0</v>
      </c>
    </row>
    <row r="796" spans="1:9" x14ac:dyDescent="0.2">
      <c r="A796" s="2">
        <v>7</v>
      </c>
      <c r="B796" s="1" t="s">
        <v>133</v>
      </c>
      <c r="C796" s="4">
        <v>32</v>
      </c>
      <c r="D796" s="8">
        <v>2.66</v>
      </c>
      <c r="E796" s="4">
        <v>28</v>
      </c>
      <c r="F796" s="8">
        <v>3.51</v>
      </c>
      <c r="G796" s="4">
        <v>4</v>
      </c>
      <c r="H796" s="8">
        <v>1.03</v>
      </c>
      <c r="I796" s="4">
        <v>0</v>
      </c>
    </row>
    <row r="797" spans="1:9" x14ac:dyDescent="0.2">
      <c r="A797" s="2">
        <v>9</v>
      </c>
      <c r="B797" s="1" t="s">
        <v>127</v>
      </c>
      <c r="C797" s="4">
        <v>30</v>
      </c>
      <c r="D797" s="8">
        <v>2.4900000000000002</v>
      </c>
      <c r="E797" s="4">
        <v>24</v>
      </c>
      <c r="F797" s="8">
        <v>3.01</v>
      </c>
      <c r="G797" s="4">
        <v>6</v>
      </c>
      <c r="H797" s="8">
        <v>1.54</v>
      </c>
      <c r="I797" s="4">
        <v>0</v>
      </c>
    </row>
    <row r="798" spans="1:9" x14ac:dyDescent="0.2">
      <c r="A798" s="2">
        <v>10</v>
      </c>
      <c r="B798" s="1" t="s">
        <v>154</v>
      </c>
      <c r="C798" s="4">
        <v>27</v>
      </c>
      <c r="D798" s="8">
        <v>2.2400000000000002</v>
      </c>
      <c r="E798" s="4">
        <v>24</v>
      </c>
      <c r="F798" s="8">
        <v>3.01</v>
      </c>
      <c r="G798" s="4">
        <v>3</v>
      </c>
      <c r="H798" s="8">
        <v>0.77</v>
      </c>
      <c r="I798" s="4">
        <v>0</v>
      </c>
    </row>
    <row r="799" spans="1:9" x14ac:dyDescent="0.2">
      <c r="A799" s="2">
        <v>11</v>
      </c>
      <c r="B799" s="1" t="s">
        <v>195</v>
      </c>
      <c r="C799" s="4">
        <v>25</v>
      </c>
      <c r="D799" s="8">
        <v>2.08</v>
      </c>
      <c r="E799" s="4">
        <v>14</v>
      </c>
      <c r="F799" s="8">
        <v>1.75</v>
      </c>
      <c r="G799" s="4">
        <v>11</v>
      </c>
      <c r="H799" s="8">
        <v>2.82</v>
      </c>
      <c r="I799" s="4">
        <v>0</v>
      </c>
    </row>
    <row r="800" spans="1:9" x14ac:dyDescent="0.2">
      <c r="A800" s="2">
        <v>12</v>
      </c>
      <c r="B800" s="1" t="s">
        <v>151</v>
      </c>
      <c r="C800" s="4">
        <v>22</v>
      </c>
      <c r="D800" s="8">
        <v>1.83</v>
      </c>
      <c r="E800" s="4">
        <v>18</v>
      </c>
      <c r="F800" s="8">
        <v>2.2599999999999998</v>
      </c>
      <c r="G800" s="4">
        <v>4</v>
      </c>
      <c r="H800" s="8">
        <v>1.03</v>
      </c>
      <c r="I800" s="4">
        <v>0</v>
      </c>
    </row>
    <row r="801" spans="1:9" x14ac:dyDescent="0.2">
      <c r="A801" s="2">
        <v>12</v>
      </c>
      <c r="B801" s="1" t="s">
        <v>171</v>
      </c>
      <c r="C801" s="4">
        <v>22</v>
      </c>
      <c r="D801" s="8">
        <v>1.83</v>
      </c>
      <c r="E801" s="4">
        <v>20</v>
      </c>
      <c r="F801" s="8">
        <v>2.5099999999999998</v>
      </c>
      <c r="G801" s="4">
        <v>2</v>
      </c>
      <c r="H801" s="8">
        <v>0.51</v>
      </c>
      <c r="I801" s="4">
        <v>0</v>
      </c>
    </row>
    <row r="802" spans="1:9" x14ac:dyDescent="0.2">
      <c r="A802" s="2">
        <v>12</v>
      </c>
      <c r="B802" s="1" t="s">
        <v>145</v>
      </c>
      <c r="C802" s="4">
        <v>22</v>
      </c>
      <c r="D802" s="8">
        <v>1.83</v>
      </c>
      <c r="E802" s="4">
        <v>21</v>
      </c>
      <c r="F802" s="8">
        <v>2.63</v>
      </c>
      <c r="G802" s="4">
        <v>1</v>
      </c>
      <c r="H802" s="8">
        <v>0.26</v>
      </c>
      <c r="I802" s="4">
        <v>0</v>
      </c>
    </row>
    <row r="803" spans="1:9" x14ac:dyDescent="0.2">
      <c r="A803" s="2">
        <v>15</v>
      </c>
      <c r="B803" s="1" t="s">
        <v>141</v>
      </c>
      <c r="C803" s="4">
        <v>21</v>
      </c>
      <c r="D803" s="8">
        <v>1.74</v>
      </c>
      <c r="E803" s="4">
        <v>20</v>
      </c>
      <c r="F803" s="8">
        <v>2.5099999999999998</v>
      </c>
      <c r="G803" s="4">
        <v>1</v>
      </c>
      <c r="H803" s="8">
        <v>0.26</v>
      </c>
      <c r="I803" s="4">
        <v>0</v>
      </c>
    </row>
    <row r="804" spans="1:9" x14ac:dyDescent="0.2">
      <c r="A804" s="2">
        <v>16</v>
      </c>
      <c r="B804" s="1" t="s">
        <v>132</v>
      </c>
      <c r="C804" s="4">
        <v>20</v>
      </c>
      <c r="D804" s="8">
        <v>1.66</v>
      </c>
      <c r="E804" s="4">
        <v>7</v>
      </c>
      <c r="F804" s="8">
        <v>0.88</v>
      </c>
      <c r="G804" s="4">
        <v>13</v>
      </c>
      <c r="H804" s="8">
        <v>3.33</v>
      </c>
      <c r="I804" s="4">
        <v>0</v>
      </c>
    </row>
    <row r="805" spans="1:9" x14ac:dyDescent="0.2">
      <c r="A805" s="2">
        <v>17</v>
      </c>
      <c r="B805" s="1" t="s">
        <v>146</v>
      </c>
      <c r="C805" s="4">
        <v>19</v>
      </c>
      <c r="D805" s="8">
        <v>1.58</v>
      </c>
      <c r="E805" s="4">
        <v>16</v>
      </c>
      <c r="F805" s="8">
        <v>2.0099999999999998</v>
      </c>
      <c r="G805" s="4">
        <v>3</v>
      </c>
      <c r="H805" s="8">
        <v>0.77</v>
      </c>
      <c r="I805" s="4">
        <v>0</v>
      </c>
    </row>
    <row r="806" spans="1:9" x14ac:dyDescent="0.2">
      <c r="A806" s="2">
        <v>18</v>
      </c>
      <c r="B806" s="1" t="s">
        <v>176</v>
      </c>
      <c r="C806" s="4">
        <v>17</v>
      </c>
      <c r="D806" s="8">
        <v>1.41</v>
      </c>
      <c r="E806" s="4">
        <v>11</v>
      </c>
      <c r="F806" s="8">
        <v>1.38</v>
      </c>
      <c r="G806" s="4">
        <v>6</v>
      </c>
      <c r="H806" s="8">
        <v>1.54</v>
      </c>
      <c r="I806" s="4">
        <v>0</v>
      </c>
    </row>
    <row r="807" spans="1:9" x14ac:dyDescent="0.2">
      <c r="A807" s="2">
        <v>18</v>
      </c>
      <c r="B807" s="1" t="s">
        <v>128</v>
      </c>
      <c r="C807" s="4">
        <v>17</v>
      </c>
      <c r="D807" s="8">
        <v>1.41</v>
      </c>
      <c r="E807" s="4">
        <v>2</v>
      </c>
      <c r="F807" s="8">
        <v>0.25</v>
      </c>
      <c r="G807" s="4">
        <v>15</v>
      </c>
      <c r="H807" s="8">
        <v>3.85</v>
      </c>
      <c r="I807" s="4">
        <v>0</v>
      </c>
    </row>
    <row r="808" spans="1:9" x14ac:dyDescent="0.2">
      <c r="A808" s="2">
        <v>20</v>
      </c>
      <c r="B808" s="1" t="s">
        <v>140</v>
      </c>
      <c r="C808" s="4">
        <v>16</v>
      </c>
      <c r="D808" s="8">
        <v>1.33</v>
      </c>
      <c r="E808" s="4">
        <v>15</v>
      </c>
      <c r="F808" s="8">
        <v>1.88</v>
      </c>
      <c r="G808" s="4">
        <v>1</v>
      </c>
      <c r="H808" s="8">
        <v>0.26</v>
      </c>
      <c r="I808" s="4">
        <v>0</v>
      </c>
    </row>
    <row r="809" spans="1:9" x14ac:dyDescent="0.2">
      <c r="A809" s="1"/>
      <c r="C809" s="4"/>
      <c r="D809" s="8"/>
      <c r="E809" s="4"/>
      <c r="F809" s="8"/>
      <c r="G809" s="4"/>
      <c r="H809" s="8"/>
      <c r="I809" s="4"/>
    </row>
    <row r="810" spans="1:9" x14ac:dyDescent="0.2">
      <c r="A810" s="1" t="s">
        <v>36</v>
      </c>
      <c r="C810" s="4"/>
      <c r="D810" s="8"/>
      <c r="E810" s="4"/>
      <c r="F810" s="8"/>
      <c r="G810" s="4"/>
      <c r="H810" s="8"/>
      <c r="I810" s="4"/>
    </row>
    <row r="811" spans="1:9" x14ac:dyDescent="0.2">
      <c r="A811" s="2">
        <v>1</v>
      </c>
      <c r="B811" s="1" t="s">
        <v>191</v>
      </c>
      <c r="C811" s="4">
        <v>226</v>
      </c>
      <c r="D811" s="8">
        <v>16.059999999999999</v>
      </c>
      <c r="E811" s="4">
        <v>178</v>
      </c>
      <c r="F811" s="8">
        <v>18.29</v>
      </c>
      <c r="G811" s="4">
        <v>48</v>
      </c>
      <c r="H811" s="8">
        <v>11.21</v>
      </c>
      <c r="I811" s="4">
        <v>0</v>
      </c>
    </row>
    <row r="812" spans="1:9" x14ac:dyDescent="0.2">
      <c r="A812" s="2">
        <v>2</v>
      </c>
      <c r="B812" s="1" t="s">
        <v>122</v>
      </c>
      <c r="C812" s="4">
        <v>69</v>
      </c>
      <c r="D812" s="8">
        <v>4.9000000000000004</v>
      </c>
      <c r="E812" s="4">
        <v>25</v>
      </c>
      <c r="F812" s="8">
        <v>2.57</v>
      </c>
      <c r="G812" s="4">
        <v>44</v>
      </c>
      <c r="H812" s="8">
        <v>10.28</v>
      </c>
      <c r="I812" s="4">
        <v>0</v>
      </c>
    </row>
    <row r="813" spans="1:9" x14ac:dyDescent="0.2">
      <c r="A813" s="2">
        <v>3</v>
      </c>
      <c r="B813" s="1" t="s">
        <v>138</v>
      </c>
      <c r="C813" s="4">
        <v>68</v>
      </c>
      <c r="D813" s="8">
        <v>4.83</v>
      </c>
      <c r="E813" s="4">
        <v>66</v>
      </c>
      <c r="F813" s="8">
        <v>6.78</v>
      </c>
      <c r="G813" s="4">
        <v>2</v>
      </c>
      <c r="H813" s="8">
        <v>0.47</v>
      </c>
      <c r="I813" s="4">
        <v>0</v>
      </c>
    </row>
    <row r="814" spans="1:9" x14ac:dyDescent="0.2">
      <c r="A814" s="2">
        <v>4</v>
      </c>
      <c r="B814" s="1" t="s">
        <v>169</v>
      </c>
      <c r="C814" s="4">
        <v>48</v>
      </c>
      <c r="D814" s="8">
        <v>3.41</v>
      </c>
      <c r="E814" s="4">
        <v>33</v>
      </c>
      <c r="F814" s="8">
        <v>3.39</v>
      </c>
      <c r="G814" s="4">
        <v>15</v>
      </c>
      <c r="H814" s="8">
        <v>3.5</v>
      </c>
      <c r="I814" s="4">
        <v>0</v>
      </c>
    </row>
    <row r="815" spans="1:9" x14ac:dyDescent="0.2">
      <c r="A815" s="2">
        <v>5</v>
      </c>
      <c r="B815" s="1" t="s">
        <v>137</v>
      </c>
      <c r="C815" s="4">
        <v>38</v>
      </c>
      <c r="D815" s="8">
        <v>2.7</v>
      </c>
      <c r="E815" s="4">
        <v>38</v>
      </c>
      <c r="F815" s="8">
        <v>3.91</v>
      </c>
      <c r="G815" s="4">
        <v>0</v>
      </c>
      <c r="H815" s="8">
        <v>0</v>
      </c>
      <c r="I815" s="4">
        <v>0</v>
      </c>
    </row>
    <row r="816" spans="1:9" x14ac:dyDescent="0.2">
      <c r="A816" s="2">
        <v>6</v>
      </c>
      <c r="B816" s="1" t="s">
        <v>140</v>
      </c>
      <c r="C816" s="4">
        <v>36</v>
      </c>
      <c r="D816" s="8">
        <v>2.56</v>
      </c>
      <c r="E816" s="4">
        <v>34</v>
      </c>
      <c r="F816" s="8">
        <v>3.49</v>
      </c>
      <c r="G816" s="4">
        <v>2</v>
      </c>
      <c r="H816" s="8">
        <v>0.47</v>
      </c>
      <c r="I816" s="4">
        <v>0</v>
      </c>
    </row>
    <row r="817" spans="1:9" x14ac:dyDescent="0.2">
      <c r="A817" s="2">
        <v>7</v>
      </c>
      <c r="B817" s="1" t="s">
        <v>124</v>
      </c>
      <c r="C817" s="4">
        <v>35</v>
      </c>
      <c r="D817" s="8">
        <v>2.4900000000000002</v>
      </c>
      <c r="E817" s="4">
        <v>25</v>
      </c>
      <c r="F817" s="8">
        <v>2.57</v>
      </c>
      <c r="G817" s="4">
        <v>10</v>
      </c>
      <c r="H817" s="8">
        <v>2.34</v>
      </c>
      <c r="I817" s="4">
        <v>0</v>
      </c>
    </row>
    <row r="818" spans="1:9" x14ac:dyDescent="0.2">
      <c r="A818" s="2">
        <v>8</v>
      </c>
      <c r="B818" s="1" t="s">
        <v>136</v>
      </c>
      <c r="C818" s="4">
        <v>28</v>
      </c>
      <c r="D818" s="8">
        <v>1.99</v>
      </c>
      <c r="E818" s="4">
        <v>28</v>
      </c>
      <c r="F818" s="8">
        <v>2.88</v>
      </c>
      <c r="G818" s="4">
        <v>0</v>
      </c>
      <c r="H818" s="8">
        <v>0</v>
      </c>
      <c r="I818" s="4">
        <v>0</v>
      </c>
    </row>
    <row r="819" spans="1:9" x14ac:dyDescent="0.2">
      <c r="A819" s="2">
        <v>9</v>
      </c>
      <c r="B819" s="1" t="s">
        <v>127</v>
      </c>
      <c r="C819" s="4">
        <v>26</v>
      </c>
      <c r="D819" s="8">
        <v>1.85</v>
      </c>
      <c r="E819" s="4">
        <v>20</v>
      </c>
      <c r="F819" s="8">
        <v>2.06</v>
      </c>
      <c r="G819" s="4">
        <v>6</v>
      </c>
      <c r="H819" s="8">
        <v>1.4</v>
      </c>
      <c r="I819" s="4">
        <v>0</v>
      </c>
    </row>
    <row r="820" spans="1:9" x14ac:dyDescent="0.2">
      <c r="A820" s="2">
        <v>10</v>
      </c>
      <c r="B820" s="1" t="s">
        <v>129</v>
      </c>
      <c r="C820" s="4">
        <v>25</v>
      </c>
      <c r="D820" s="8">
        <v>1.78</v>
      </c>
      <c r="E820" s="4">
        <v>17</v>
      </c>
      <c r="F820" s="8">
        <v>1.75</v>
      </c>
      <c r="G820" s="4">
        <v>8</v>
      </c>
      <c r="H820" s="8">
        <v>1.87</v>
      </c>
      <c r="I820" s="4">
        <v>0</v>
      </c>
    </row>
    <row r="821" spans="1:9" x14ac:dyDescent="0.2">
      <c r="A821" s="2">
        <v>11</v>
      </c>
      <c r="B821" s="1" t="s">
        <v>185</v>
      </c>
      <c r="C821" s="4">
        <v>23</v>
      </c>
      <c r="D821" s="8">
        <v>1.63</v>
      </c>
      <c r="E821" s="4">
        <v>18</v>
      </c>
      <c r="F821" s="8">
        <v>1.85</v>
      </c>
      <c r="G821" s="4">
        <v>5</v>
      </c>
      <c r="H821" s="8">
        <v>1.17</v>
      </c>
      <c r="I821" s="4">
        <v>0</v>
      </c>
    </row>
    <row r="822" spans="1:9" x14ac:dyDescent="0.2">
      <c r="A822" s="2">
        <v>12</v>
      </c>
      <c r="B822" s="1" t="s">
        <v>141</v>
      </c>
      <c r="C822" s="4">
        <v>22</v>
      </c>
      <c r="D822" s="8">
        <v>1.56</v>
      </c>
      <c r="E822" s="4">
        <v>22</v>
      </c>
      <c r="F822" s="8">
        <v>2.2599999999999998</v>
      </c>
      <c r="G822" s="4">
        <v>0</v>
      </c>
      <c r="H822" s="8">
        <v>0</v>
      </c>
      <c r="I822" s="4">
        <v>0</v>
      </c>
    </row>
    <row r="823" spans="1:9" x14ac:dyDescent="0.2">
      <c r="A823" s="2">
        <v>13</v>
      </c>
      <c r="B823" s="1" t="s">
        <v>123</v>
      </c>
      <c r="C823" s="4">
        <v>21</v>
      </c>
      <c r="D823" s="8">
        <v>1.49</v>
      </c>
      <c r="E823" s="4">
        <v>8</v>
      </c>
      <c r="F823" s="8">
        <v>0.82</v>
      </c>
      <c r="G823" s="4">
        <v>13</v>
      </c>
      <c r="H823" s="8">
        <v>3.04</v>
      </c>
      <c r="I823" s="4">
        <v>0</v>
      </c>
    </row>
    <row r="824" spans="1:9" x14ac:dyDescent="0.2">
      <c r="A824" s="2">
        <v>14</v>
      </c>
      <c r="B824" s="1" t="s">
        <v>159</v>
      </c>
      <c r="C824" s="4">
        <v>20</v>
      </c>
      <c r="D824" s="8">
        <v>1.42</v>
      </c>
      <c r="E824" s="4">
        <v>7</v>
      </c>
      <c r="F824" s="8">
        <v>0.72</v>
      </c>
      <c r="G824" s="4">
        <v>13</v>
      </c>
      <c r="H824" s="8">
        <v>3.04</v>
      </c>
      <c r="I824" s="4">
        <v>0</v>
      </c>
    </row>
    <row r="825" spans="1:9" x14ac:dyDescent="0.2">
      <c r="A825" s="2">
        <v>15</v>
      </c>
      <c r="B825" s="1" t="s">
        <v>190</v>
      </c>
      <c r="C825" s="4">
        <v>19</v>
      </c>
      <c r="D825" s="8">
        <v>1.35</v>
      </c>
      <c r="E825" s="4">
        <v>17</v>
      </c>
      <c r="F825" s="8">
        <v>1.75</v>
      </c>
      <c r="G825" s="4">
        <v>2</v>
      </c>
      <c r="H825" s="8">
        <v>0.47</v>
      </c>
      <c r="I825" s="4">
        <v>0</v>
      </c>
    </row>
    <row r="826" spans="1:9" x14ac:dyDescent="0.2">
      <c r="A826" s="2">
        <v>16</v>
      </c>
      <c r="B826" s="1" t="s">
        <v>125</v>
      </c>
      <c r="C826" s="4">
        <v>17</v>
      </c>
      <c r="D826" s="8">
        <v>1.21</v>
      </c>
      <c r="E826" s="4">
        <v>9</v>
      </c>
      <c r="F826" s="8">
        <v>0.92</v>
      </c>
      <c r="G826" s="4">
        <v>8</v>
      </c>
      <c r="H826" s="8">
        <v>1.87</v>
      </c>
      <c r="I826" s="4">
        <v>0</v>
      </c>
    </row>
    <row r="827" spans="1:9" x14ac:dyDescent="0.2">
      <c r="A827" s="2">
        <v>16</v>
      </c>
      <c r="B827" s="1" t="s">
        <v>128</v>
      </c>
      <c r="C827" s="4">
        <v>17</v>
      </c>
      <c r="D827" s="8">
        <v>1.21</v>
      </c>
      <c r="E827" s="4">
        <v>11</v>
      </c>
      <c r="F827" s="8">
        <v>1.1299999999999999</v>
      </c>
      <c r="G827" s="4">
        <v>6</v>
      </c>
      <c r="H827" s="8">
        <v>1.4</v>
      </c>
      <c r="I827" s="4">
        <v>0</v>
      </c>
    </row>
    <row r="828" spans="1:9" x14ac:dyDescent="0.2">
      <c r="A828" s="2">
        <v>18</v>
      </c>
      <c r="B828" s="1" t="s">
        <v>126</v>
      </c>
      <c r="C828" s="4">
        <v>16</v>
      </c>
      <c r="D828" s="8">
        <v>1.1399999999999999</v>
      </c>
      <c r="E828" s="4">
        <v>16</v>
      </c>
      <c r="F828" s="8">
        <v>1.64</v>
      </c>
      <c r="G828" s="4">
        <v>0</v>
      </c>
      <c r="H828" s="8">
        <v>0</v>
      </c>
      <c r="I828" s="4">
        <v>0</v>
      </c>
    </row>
    <row r="829" spans="1:9" x14ac:dyDescent="0.2">
      <c r="A829" s="2">
        <v>18</v>
      </c>
      <c r="B829" s="1" t="s">
        <v>132</v>
      </c>
      <c r="C829" s="4">
        <v>16</v>
      </c>
      <c r="D829" s="8">
        <v>1.1399999999999999</v>
      </c>
      <c r="E829" s="4">
        <v>13</v>
      </c>
      <c r="F829" s="8">
        <v>1.34</v>
      </c>
      <c r="G829" s="4">
        <v>3</v>
      </c>
      <c r="H829" s="8">
        <v>0.7</v>
      </c>
      <c r="I829" s="4">
        <v>0</v>
      </c>
    </row>
    <row r="830" spans="1:9" x14ac:dyDescent="0.2">
      <c r="A830" s="2">
        <v>20</v>
      </c>
      <c r="B830" s="1" t="s">
        <v>172</v>
      </c>
      <c r="C830" s="4">
        <v>14</v>
      </c>
      <c r="D830" s="8">
        <v>1</v>
      </c>
      <c r="E830" s="4">
        <v>5</v>
      </c>
      <c r="F830" s="8">
        <v>0.51</v>
      </c>
      <c r="G830" s="4">
        <v>9</v>
      </c>
      <c r="H830" s="8">
        <v>2.1</v>
      </c>
      <c r="I830" s="4">
        <v>0</v>
      </c>
    </row>
    <row r="831" spans="1:9" x14ac:dyDescent="0.2">
      <c r="A831" s="2">
        <v>20</v>
      </c>
      <c r="B831" s="1" t="s">
        <v>144</v>
      </c>
      <c r="C831" s="4">
        <v>14</v>
      </c>
      <c r="D831" s="8">
        <v>1</v>
      </c>
      <c r="E831" s="4">
        <v>7</v>
      </c>
      <c r="F831" s="8">
        <v>0.72</v>
      </c>
      <c r="G831" s="4">
        <v>7</v>
      </c>
      <c r="H831" s="8">
        <v>1.64</v>
      </c>
      <c r="I831" s="4">
        <v>0</v>
      </c>
    </row>
    <row r="832" spans="1:9" x14ac:dyDescent="0.2">
      <c r="A832" s="2">
        <v>20</v>
      </c>
      <c r="B832" s="1" t="s">
        <v>196</v>
      </c>
      <c r="C832" s="4">
        <v>14</v>
      </c>
      <c r="D832" s="8">
        <v>1</v>
      </c>
      <c r="E832" s="4">
        <v>11</v>
      </c>
      <c r="F832" s="8">
        <v>1.1299999999999999</v>
      </c>
      <c r="G832" s="4">
        <v>3</v>
      </c>
      <c r="H832" s="8">
        <v>0.7</v>
      </c>
      <c r="I832" s="4">
        <v>0</v>
      </c>
    </row>
    <row r="833" spans="1:9" x14ac:dyDescent="0.2">
      <c r="A833" s="2">
        <v>20</v>
      </c>
      <c r="B833" s="1" t="s">
        <v>139</v>
      </c>
      <c r="C833" s="4">
        <v>14</v>
      </c>
      <c r="D833" s="8">
        <v>1</v>
      </c>
      <c r="E833" s="4">
        <v>13</v>
      </c>
      <c r="F833" s="8">
        <v>1.34</v>
      </c>
      <c r="G833" s="4">
        <v>1</v>
      </c>
      <c r="H833" s="8">
        <v>0.23</v>
      </c>
      <c r="I833" s="4">
        <v>0</v>
      </c>
    </row>
    <row r="834" spans="1:9" x14ac:dyDescent="0.2">
      <c r="A834" s="2">
        <v>20</v>
      </c>
      <c r="B834" s="1" t="s">
        <v>165</v>
      </c>
      <c r="C834" s="4">
        <v>14</v>
      </c>
      <c r="D834" s="8">
        <v>1</v>
      </c>
      <c r="E834" s="4">
        <v>11</v>
      </c>
      <c r="F834" s="8">
        <v>1.1299999999999999</v>
      </c>
      <c r="G834" s="4">
        <v>3</v>
      </c>
      <c r="H834" s="8">
        <v>0.7</v>
      </c>
      <c r="I834" s="4">
        <v>0</v>
      </c>
    </row>
    <row r="835" spans="1:9" x14ac:dyDescent="0.2">
      <c r="A835" s="1"/>
      <c r="C835" s="4"/>
      <c r="D835" s="8"/>
      <c r="E835" s="4"/>
      <c r="F835" s="8"/>
      <c r="G835" s="4"/>
      <c r="H835" s="8"/>
      <c r="I835" s="4"/>
    </row>
    <row r="836" spans="1:9" x14ac:dyDescent="0.2">
      <c r="A836" s="1" t="s">
        <v>37</v>
      </c>
      <c r="C836" s="4"/>
      <c r="D836" s="8"/>
      <c r="E836" s="4"/>
      <c r="F836" s="8"/>
      <c r="G836" s="4"/>
      <c r="H836" s="8"/>
      <c r="I836" s="4"/>
    </row>
    <row r="837" spans="1:9" x14ac:dyDescent="0.2">
      <c r="A837" s="2">
        <v>1</v>
      </c>
      <c r="B837" s="1" t="s">
        <v>138</v>
      </c>
      <c r="C837" s="4">
        <v>35</v>
      </c>
      <c r="D837" s="8">
        <v>3.85</v>
      </c>
      <c r="E837" s="4">
        <v>33</v>
      </c>
      <c r="F837" s="8">
        <v>6.9</v>
      </c>
      <c r="G837" s="4">
        <v>2</v>
      </c>
      <c r="H837" s="8">
        <v>0.48</v>
      </c>
      <c r="I837" s="4">
        <v>0</v>
      </c>
    </row>
    <row r="838" spans="1:9" x14ac:dyDescent="0.2">
      <c r="A838" s="2">
        <v>2</v>
      </c>
      <c r="B838" s="1" t="s">
        <v>122</v>
      </c>
      <c r="C838" s="4">
        <v>34</v>
      </c>
      <c r="D838" s="8">
        <v>3.74</v>
      </c>
      <c r="E838" s="4">
        <v>13</v>
      </c>
      <c r="F838" s="8">
        <v>2.72</v>
      </c>
      <c r="G838" s="4">
        <v>21</v>
      </c>
      <c r="H838" s="8">
        <v>5.07</v>
      </c>
      <c r="I838" s="4">
        <v>0</v>
      </c>
    </row>
    <row r="839" spans="1:9" x14ac:dyDescent="0.2">
      <c r="A839" s="2">
        <v>3</v>
      </c>
      <c r="B839" s="1" t="s">
        <v>137</v>
      </c>
      <c r="C839" s="4">
        <v>29</v>
      </c>
      <c r="D839" s="8">
        <v>3.19</v>
      </c>
      <c r="E839" s="4">
        <v>28</v>
      </c>
      <c r="F839" s="8">
        <v>5.86</v>
      </c>
      <c r="G839" s="4">
        <v>1</v>
      </c>
      <c r="H839" s="8">
        <v>0.24</v>
      </c>
      <c r="I839" s="4">
        <v>0</v>
      </c>
    </row>
    <row r="840" spans="1:9" x14ac:dyDescent="0.2">
      <c r="A840" s="2">
        <v>4</v>
      </c>
      <c r="B840" s="1" t="s">
        <v>132</v>
      </c>
      <c r="C840" s="4">
        <v>28</v>
      </c>
      <c r="D840" s="8">
        <v>3.08</v>
      </c>
      <c r="E840" s="4">
        <v>14</v>
      </c>
      <c r="F840" s="8">
        <v>2.93</v>
      </c>
      <c r="G840" s="4">
        <v>14</v>
      </c>
      <c r="H840" s="8">
        <v>3.38</v>
      </c>
      <c r="I840" s="4">
        <v>0</v>
      </c>
    </row>
    <row r="841" spans="1:9" x14ac:dyDescent="0.2">
      <c r="A841" s="2">
        <v>5</v>
      </c>
      <c r="B841" s="1" t="s">
        <v>127</v>
      </c>
      <c r="C841" s="4">
        <v>26</v>
      </c>
      <c r="D841" s="8">
        <v>2.86</v>
      </c>
      <c r="E841" s="4">
        <v>14</v>
      </c>
      <c r="F841" s="8">
        <v>2.93</v>
      </c>
      <c r="G841" s="4">
        <v>12</v>
      </c>
      <c r="H841" s="8">
        <v>2.9</v>
      </c>
      <c r="I841" s="4">
        <v>0</v>
      </c>
    </row>
    <row r="842" spans="1:9" x14ac:dyDescent="0.2">
      <c r="A842" s="2">
        <v>6</v>
      </c>
      <c r="B842" s="1" t="s">
        <v>197</v>
      </c>
      <c r="C842" s="4">
        <v>20</v>
      </c>
      <c r="D842" s="8">
        <v>2.2000000000000002</v>
      </c>
      <c r="E842" s="4">
        <v>8</v>
      </c>
      <c r="F842" s="8">
        <v>1.67</v>
      </c>
      <c r="G842" s="4">
        <v>12</v>
      </c>
      <c r="H842" s="8">
        <v>2.9</v>
      </c>
      <c r="I842" s="4">
        <v>0</v>
      </c>
    </row>
    <row r="843" spans="1:9" x14ac:dyDescent="0.2">
      <c r="A843" s="2">
        <v>7</v>
      </c>
      <c r="B843" s="1" t="s">
        <v>169</v>
      </c>
      <c r="C843" s="4">
        <v>19</v>
      </c>
      <c r="D843" s="8">
        <v>2.09</v>
      </c>
      <c r="E843" s="4">
        <v>11</v>
      </c>
      <c r="F843" s="8">
        <v>2.2999999999999998</v>
      </c>
      <c r="G843" s="4">
        <v>8</v>
      </c>
      <c r="H843" s="8">
        <v>1.93</v>
      </c>
      <c r="I843" s="4">
        <v>0</v>
      </c>
    </row>
    <row r="844" spans="1:9" x14ac:dyDescent="0.2">
      <c r="A844" s="2">
        <v>7</v>
      </c>
      <c r="B844" s="1" t="s">
        <v>134</v>
      </c>
      <c r="C844" s="4">
        <v>19</v>
      </c>
      <c r="D844" s="8">
        <v>2.09</v>
      </c>
      <c r="E844" s="4">
        <v>17</v>
      </c>
      <c r="F844" s="8">
        <v>3.56</v>
      </c>
      <c r="G844" s="4">
        <v>2</v>
      </c>
      <c r="H844" s="8">
        <v>0.48</v>
      </c>
      <c r="I844" s="4">
        <v>0</v>
      </c>
    </row>
    <row r="845" spans="1:9" x14ac:dyDescent="0.2">
      <c r="A845" s="2">
        <v>9</v>
      </c>
      <c r="B845" s="1" t="s">
        <v>123</v>
      </c>
      <c r="C845" s="4">
        <v>18</v>
      </c>
      <c r="D845" s="8">
        <v>1.98</v>
      </c>
      <c r="E845" s="4">
        <v>7</v>
      </c>
      <c r="F845" s="8">
        <v>1.46</v>
      </c>
      <c r="G845" s="4">
        <v>11</v>
      </c>
      <c r="H845" s="8">
        <v>2.66</v>
      </c>
      <c r="I845" s="4">
        <v>0</v>
      </c>
    </row>
    <row r="846" spans="1:9" x14ac:dyDescent="0.2">
      <c r="A846" s="2">
        <v>9</v>
      </c>
      <c r="B846" s="1" t="s">
        <v>133</v>
      </c>
      <c r="C846" s="4">
        <v>18</v>
      </c>
      <c r="D846" s="8">
        <v>1.98</v>
      </c>
      <c r="E846" s="4">
        <v>12</v>
      </c>
      <c r="F846" s="8">
        <v>2.5099999999999998</v>
      </c>
      <c r="G846" s="4">
        <v>6</v>
      </c>
      <c r="H846" s="8">
        <v>1.45</v>
      </c>
      <c r="I846" s="4">
        <v>0</v>
      </c>
    </row>
    <row r="847" spans="1:9" x14ac:dyDescent="0.2">
      <c r="A847" s="2">
        <v>9</v>
      </c>
      <c r="B847" s="1" t="s">
        <v>136</v>
      </c>
      <c r="C847" s="4">
        <v>18</v>
      </c>
      <c r="D847" s="8">
        <v>1.98</v>
      </c>
      <c r="E847" s="4">
        <v>17</v>
      </c>
      <c r="F847" s="8">
        <v>3.56</v>
      </c>
      <c r="G847" s="4">
        <v>1</v>
      </c>
      <c r="H847" s="8">
        <v>0.24</v>
      </c>
      <c r="I847" s="4">
        <v>0</v>
      </c>
    </row>
    <row r="848" spans="1:9" x14ac:dyDescent="0.2">
      <c r="A848" s="2">
        <v>12</v>
      </c>
      <c r="B848" s="1" t="s">
        <v>126</v>
      </c>
      <c r="C848" s="4">
        <v>16</v>
      </c>
      <c r="D848" s="8">
        <v>1.76</v>
      </c>
      <c r="E848" s="4">
        <v>12</v>
      </c>
      <c r="F848" s="8">
        <v>2.5099999999999998</v>
      </c>
      <c r="G848" s="4">
        <v>4</v>
      </c>
      <c r="H848" s="8">
        <v>0.97</v>
      </c>
      <c r="I848" s="4">
        <v>0</v>
      </c>
    </row>
    <row r="849" spans="1:9" x14ac:dyDescent="0.2">
      <c r="A849" s="2">
        <v>12</v>
      </c>
      <c r="B849" s="1" t="s">
        <v>196</v>
      </c>
      <c r="C849" s="4">
        <v>16</v>
      </c>
      <c r="D849" s="8">
        <v>1.76</v>
      </c>
      <c r="E849" s="4">
        <v>13</v>
      </c>
      <c r="F849" s="8">
        <v>2.72</v>
      </c>
      <c r="G849" s="4">
        <v>3</v>
      </c>
      <c r="H849" s="8">
        <v>0.72</v>
      </c>
      <c r="I849" s="4">
        <v>0</v>
      </c>
    </row>
    <row r="850" spans="1:9" x14ac:dyDescent="0.2">
      <c r="A850" s="2">
        <v>14</v>
      </c>
      <c r="B850" s="1" t="s">
        <v>165</v>
      </c>
      <c r="C850" s="4">
        <v>15</v>
      </c>
      <c r="D850" s="8">
        <v>1.65</v>
      </c>
      <c r="E850" s="4">
        <v>12</v>
      </c>
      <c r="F850" s="8">
        <v>2.5099999999999998</v>
      </c>
      <c r="G850" s="4">
        <v>3</v>
      </c>
      <c r="H850" s="8">
        <v>0.72</v>
      </c>
      <c r="I850" s="4">
        <v>0</v>
      </c>
    </row>
    <row r="851" spans="1:9" x14ac:dyDescent="0.2">
      <c r="A851" s="2">
        <v>15</v>
      </c>
      <c r="B851" s="1" t="s">
        <v>176</v>
      </c>
      <c r="C851" s="4">
        <v>14</v>
      </c>
      <c r="D851" s="8">
        <v>1.54</v>
      </c>
      <c r="E851" s="4">
        <v>6</v>
      </c>
      <c r="F851" s="8">
        <v>1.26</v>
      </c>
      <c r="G851" s="4">
        <v>8</v>
      </c>
      <c r="H851" s="8">
        <v>1.93</v>
      </c>
      <c r="I851" s="4">
        <v>0</v>
      </c>
    </row>
    <row r="852" spans="1:9" x14ac:dyDescent="0.2">
      <c r="A852" s="2">
        <v>15</v>
      </c>
      <c r="B852" s="1" t="s">
        <v>146</v>
      </c>
      <c r="C852" s="4">
        <v>14</v>
      </c>
      <c r="D852" s="8">
        <v>1.54</v>
      </c>
      <c r="E852" s="4">
        <v>2</v>
      </c>
      <c r="F852" s="8">
        <v>0.42</v>
      </c>
      <c r="G852" s="4">
        <v>12</v>
      </c>
      <c r="H852" s="8">
        <v>2.9</v>
      </c>
      <c r="I852" s="4">
        <v>0</v>
      </c>
    </row>
    <row r="853" spans="1:9" x14ac:dyDescent="0.2">
      <c r="A853" s="2">
        <v>17</v>
      </c>
      <c r="B853" s="1" t="s">
        <v>124</v>
      </c>
      <c r="C853" s="4">
        <v>12</v>
      </c>
      <c r="D853" s="8">
        <v>1.32</v>
      </c>
      <c r="E853" s="4">
        <v>7</v>
      </c>
      <c r="F853" s="8">
        <v>1.46</v>
      </c>
      <c r="G853" s="4">
        <v>5</v>
      </c>
      <c r="H853" s="8">
        <v>1.21</v>
      </c>
      <c r="I853" s="4">
        <v>0</v>
      </c>
    </row>
    <row r="854" spans="1:9" x14ac:dyDescent="0.2">
      <c r="A854" s="2">
        <v>17</v>
      </c>
      <c r="B854" s="1" t="s">
        <v>198</v>
      </c>
      <c r="C854" s="4">
        <v>12</v>
      </c>
      <c r="D854" s="8">
        <v>1.32</v>
      </c>
      <c r="E854" s="4">
        <v>6</v>
      </c>
      <c r="F854" s="8">
        <v>1.26</v>
      </c>
      <c r="G854" s="4">
        <v>6</v>
      </c>
      <c r="H854" s="8">
        <v>1.45</v>
      </c>
      <c r="I854" s="4">
        <v>0</v>
      </c>
    </row>
    <row r="855" spans="1:9" x14ac:dyDescent="0.2">
      <c r="A855" s="2">
        <v>17</v>
      </c>
      <c r="B855" s="1" t="s">
        <v>172</v>
      </c>
      <c r="C855" s="4">
        <v>12</v>
      </c>
      <c r="D855" s="8">
        <v>1.32</v>
      </c>
      <c r="E855" s="4">
        <v>1</v>
      </c>
      <c r="F855" s="8">
        <v>0.21</v>
      </c>
      <c r="G855" s="4">
        <v>11</v>
      </c>
      <c r="H855" s="8">
        <v>2.66</v>
      </c>
      <c r="I855" s="4">
        <v>0</v>
      </c>
    </row>
    <row r="856" spans="1:9" x14ac:dyDescent="0.2">
      <c r="A856" s="2">
        <v>17</v>
      </c>
      <c r="B856" s="1" t="s">
        <v>135</v>
      </c>
      <c r="C856" s="4">
        <v>12</v>
      </c>
      <c r="D856" s="8">
        <v>1.32</v>
      </c>
      <c r="E856" s="4">
        <v>11</v>
      </c>
      <c r="F856" s="8">
        <v>2.2999999999999998</v>
      </c>
      <c r="G856" s="4">
        <v>1</v>
      </c>
      <c r="H856" s="8">
        <v>0.24</v>
      </c>
      <c r="I856" s="4">
        <v>0</v>
      </c>
    </row>
    <row r="857" spans="1:9" x14ac:dyDescent="0.2">
      <c r="A857" s="2">
        <v>17</v>
      </c>
      <c r="B857" s="1" t="s">
        <v>140</v>
      </c>
      <c r="C857" s="4">
        <v>12</v>
      </c>
      <c r="D857" s="8">
        <v>1.32</v>
      </c>
      <c r="E857" s="4">
        <v>9</v>
      </c>
      <c r="F857" s="8">
        <v>1.88</v>
      </c>
      <c r="G857" s="4">
        <v>3</v>
      </c>
      <c r="H857" s="8">
        <v>0.72</v>
      </c>
      <c r="I857" s="4">
        <v>0</v>
      </c>
    </row>
    <row r="858" spans="1:9" x14ac:dyDescent="0.2">
      <c r="A858" s="2">
        <v>17</v>
      </c>
      <c r="B858" s="1" t="s">
        <v>141</v>
      </c>
      <c r="C858" s="4">
        <v>12</v>
      </c>
      <c r="D858" s="8">
        <v>1.32</v>
      </c>
      <c r="E858" s="4">
        <v>11</v>
      </c>
      <c r="F858" s="8">
        <v>2.2999999999999998</v>
      </c>
      <c r="G858" s="4">
        <v>1</v>
      </c>
      <c r="H858" s="8">
        <v>0.24</v>
      </c>
      <c r="I858" s="4">
        <v>0</v>
      </c>
    </row>
    <row r="859" spans="1:9" x14ac:dyDescent="0.2">
      <c r="A859" s="1"/>
      <c r="C859" s="4"/>
      <c r="D859" s="8"/>
      <c r="E859" s="4"/>
      <c r="F859" s="8"/>
      <c r="G859" s="4"/>
      <c r="H859" s="8"/>
      <c r="I859" s="4"/>
    </row>
    <row r="860" spans="1:9" x14ac:dyDescent="0.2">
      <c r="A860" s="1" t="s">
        <v>38</v>
      </c>
      <c r="C860" s="4"/>
      <c r="D860" s="8"/>
      <c r="E860" s="4"/>
      <c r="F860" s="8"/>
      <c r="G860" s="4"/>
      <c r="H860" s="8"/>
      <c r="I860" s="4"/>
    </row>
    <row r="861" spans="1:9" x14ac:dyDescent="0.2">
      <c r="A861" s="2">
        <v>1</v>
      </c>
      <c r="B861" s="1" t="s">
        <v>199</v>
      </c>
      <c r="C861" s="4">
        <v>91</v>
      </c>
      <c r="D861" s="8">
        <v>4.75</v>
      </c>
      <c r="E861" s="4">
        <v>78</v>
      </c>
      <c r="F861" s="8">
        <v>7.05</v>
      </c>
      <c r="G861" s="4">
        <v>13</v>
      </c>
      <c r="H861" s="8">
        <v>1.73</v>
      </c>
      <c r="I861" s="4">
        <v>0</v>
      </c>
    </row>
    <row r="862" spans="1:9" x14ac:dyDescent="0.2">
      <c r="A862" s="2">
        <v>1</v>
      </c>
      <c r="B862" s="1" t="s">
        <v>138</v>
      </c>
      <c r="C862" s="4">
        <v>91</v>
      </c>
      <c r="D862" s="8">
        <v>4.75</v>
      </c>
      <c r="E862" s="4">
        <v>83</v>
      </c>
      <c r="F862" s="8">
        <v>7.5</v>
      </c>
      <c r="G862" s="4">
        <v>8</v>
      </c>
      <c r="H862" s="8">
        <v>1.07</v>
      </c>
      <c r="I862" s="4">
        <v>0</v>
      </c>
    </row>
    <row r="863" spans="1:9" x14ac:dyDescent="0.2">
      <c r="A863" s="2">
        <v>3</v>
      </c>
      <c r="B863" s="1" t="s">
        <v>191</v>
      </c>
      <c r="C863" s="4">
        <v>86</v>
      </c>
      <c r="D863" s="8">
        <v>4.49</v>
      </c>
      <c r="E863" s="4">
        <v>71</v>
      </c>
      <c r="F863" s="8">
        <v>6.41</v>
      </c>
      <c r="G863" s="4">
        <v>15</v>
      </c>
      <c r="H863" s="8">
        <v>2</v>
      </c>
      <c r="I863" s="4">
        <v>0</v>
      </c>
    </row>
    <row r="864" spans="1:9" x14ac:dyDescent="0.2">
      <c r="A864" s="2">
        <v>4</v>
      </c>
      <c r="B864" s="1" t="s">
        <v>122</v>
      </c>
      <c r="C864" s="4">
        <v>73</v>
      </c>
      <c r="D864" s="8">
        <v>3.81</v>
      </c>
      <c r="E864" s="4">
        <v>21</v>
      </c>
      <c r="F864" s="8">
        <v>1.9</v>
      </c>
      <c r="G864" s="4">
        <v>52</v>
      </c>
      <c r="H864" s="8">
        <v>6.92</v>
      </c>
      <c r="I864" s="4">
        <v>0</v>
      </c>
    </row>
    <row r="865" spans="1:9" x14ac:dyDescent="0.2">
      <c r="A865" s="2">
        <v>5</v>
      </c>
      <c r="B865" s="1" t="s">
        <v>140</v>
      </c>
      <c r="C865" s="4">
        <v>53</v>
      </c>
      <c r="D865" s="8">
        <v>2.77</v>
      </c>
      <c r="E865" s="4">
        <v>44</v>
      </c>
      <c r="F865" s="8">
        <v>3.97</v>
      </c>
      <c r="G865" s="4">
        <v>8</v>
      </c>
      <c r="H865" s="8">
        <v>1.07</v>
      </c>
      <c r="I865" s="4">
        <v>1</v>
      </c>
    </row>
    <row r="866" spans="1:9" x14ac:dyDescent="0.2">
      <c r="A866" s="2">
        <v>6</v>
      </c>
      <c r="B866" s="1" t="s">
        <v>132</v>
      </c>
      <c r="C866" s="4">
        <v>51</v>
      </c>
      <c r="D866" s="8">
        <v>2.66</v>
      </c>
      <c r="E866" s="4">
        <v>32</v>
      </c>
      <c r="F866" s="8">
        <v>2.89</v>
      </c>
      <c r="G866" s="4">
        <v>18</v>
      </c>
      <c r="H866" s="8">
        <v>2.4</v>
      </c>
      <c r="I866" s="4">
        <v>0</v>
      </c>
    </row>
    <row r="867" spans="1:9" x14ac:dyDescent="0.2">
      <c r="A867" s="2">
        <v>7</v>
      </c>
      <c r="B867" s="1" t="s">
        <v>136</v>
      </c>
      <c r="C867" s="4">
        <v>50</v>
      </c>
      <c r="D867" s="8">
        <v>2.61</v>
      </c>
      <c r="E867" s="4">
        <v>42</v>
      </c>
      <c r="F867" s="8">
        <v>3.79</v>
      </c>
      <c r="G867" s="4">
        <v>7</v>
      </c>
      <c r="H867" s="8">
        <v>0.93</v>
      </c>
      <c r="I867" s="4">
        <v>1</v>
      </c>
    </row>
    <row r="868" spans="1:9" x14ac:dyDescent="0.2">
      <c r="A868" s="2">
        <v>8</v>
      </c>
      <c r="B868" s="1" t="s">
        <v>129</v>
      </c>
      <c r="C868" s="4">
        <v>48</v>
      </c>
      <c r="D868" s="8">
        <v>2.5099999999999998</v>
      </c>
      <c r="E868" s="4">
        <v>40</v>
      </c>
      <c r="F868" s="8">
        <v>3.61</v>
      </c>
      <c r="G868" s="4">
        <v>8</v>
      </c>
      <c r="H868" s="8">
        <v>1.07</v>
      </c>
      <c r="I868" s="4">
        <v>0</v>
      </c>
    </row>
    <row r="869" spans="1:9" x14ac:dyDescent="0.2">
      <c r="A869" s="2">
        <v>8</v>
      </c>
      <c r="B869" s="1" t="s">
        <v>137</v>
      </c>
      <c r="C869" s="4">
        <v>48</v>
      </c>
      <c r="D869" s="8">
        <v>2.5099999999999998</v>
      </c>
      <c r="E869" s="4">
        <v>48</v>
      </c>
      <c r="F869" s="8">
        <v>4.34</v>
      </c>
      <c r="G869" s="4">
        <v>0</v>
      </c>
      <c r="H869" s="8">
        <v>0</v>
      </c>
      <c r="I869" s="4">
        <v>0</v>
      </c>
    </row>
    <row r="870" spans="1:9" x14ac:dyDescent="0.2">
      <c r="A870" s="2">
        <v>10</v>
      </c>
      <c r="B870" s="1" t="s">
        <v>127</v>
      </c>
      <c r="C870" s="4">
        <v>38</v>
      </c>
      <c r="D870" s="8">
        <v>1.98</v>
      </c>
      <c r="E870" s="4">
        <v>32</v>
      </c>
      <c r="F870" s="8">
        <v>2.89</v>
      </c>
      <c r="G870" s="4">
        <v>6</v>
      </c>
      <c r="H870" s="8">
        <v>0.8</v>
      </c>
      <c r="I870" s="4">
        <v>0</v>
      </c>
    </row>
    <row r="871" spans="1:9" x14ac:dyDescent="0.2">
      <c r="A871" s="2">
        <v>11</v>
      </c>
      <c r="B871" s="1" t="s">
        <v>123</v>
      </c>
      <c r="C871" s="4">
        <v>36</v>
      </c>
      <c r="D871" s="8">
        <v>1.88</v>
      </c>
      <c r="E871" s="4">
        <v>7</v>
      </c>
      <c r="F871" s="8">
        <v>0.63</v>
      </c>
      <c r="G871" s="4">
        <v>29</v>
      </c>
      <c r="H871" s="8">
        <v>3.86</v>
      </c>
      <c r="I871" s="4">
        <v>0</v>
      </c>
    </row>
    <row r="872" spans="1:9" x14ac:dyDescent="0.2">
      <c r="A872" s="2">
        <v>12</v>
      </c>
      <c r="B872" s="1" t="s">
        <v>126</v>
      </c>
      <c r="C872" s="4">
        <v>31</v>
      </c>
      <c r="D872" s="8">
        <v>1.62</v>
      </c>
      <c r="E872" s="4">
        <v>24</v>
      </c>
      <c r="F872" s="8">
        <v>2.17</v>
      </c>
      <c r="G872" s="4">
        <v>6</v>
      </c>
      <c r="H872" s="8">
        <v>0.8</v>
      </c>
      <c r="I872" s="4">
        <v>1</v>
      </c>
    </row>
    <row r="873" spans="1:9" x14ac:dyDescent="0.2">
      <c r="A873" s="2">
        <v>13</v>
      </c>
      <c r="B873" s="1" t="s">
        <v>128</v>
      </c>
      <c r="C873" s="4">
        <v>30</v>
      </c>
      <c r="D873" s="8">
        <v>1.57</v>
      </c>
      <c r="E873" s="4">
        <v>14</v>
      </c>
      <c r="F873" s="8">
        <v>1.26</v>
      </c>
      <c r="G873" s="4">
        <v>16</v>
      </c>
      <c r="H873" s="8">
        <v>2.13</v>
      </c>
      <c r="I873" s="4">
        <v>0</v>
      </c>
    </row>
    <row r="874" spans="1:9" x14ac:dyDescent="0.2">
      <c r="A874" s="2">
        <v>14</v>
      </c>
      <c r="B874" s="1" t="s">
        <v>169</v>
      </c>
      <c r="C874" s="4">
        <v>27</v>
      </c>
      <c r="D874" s="8">
        <v>1.41</v>
      </c>
      <c r="E874" s="4">
        <v>16</v>
      </c>
      <c r="F874" s="8">
        <v>1.45</v>
      </c>
      <c r="G874" s="4">
        <v>11</v>
      </c>
      <c r="H874" s="8">
        <v>1.46</v>
      </c>
      <c r="I874" s="4">
        <v>0</v>
      </c>
    </row>
    <row r="875" spans="1:9" x14ac:dyDescent="0.2">
      <c r="A875" s="2">
        <v>15</v>
      </c>
      <c r="B875" s="1" t="s">
        <v>146</v>
      </c>
      <c r="C875" s="4">
        <v>26</v>
      </c>
      <c r="D875" s="8">
        <v>1.36</v>
      </c>
      <c r="E875" s="4">
        <v>13</v>
      </c>
      <c r="F875" s="8">
        <v>1.17</v>
      </c>
      <c r="G875" s="4">
        <v>13</v>
      </c>
      <c r="H875" s="8">
        <v>1.73</v>
      </c>
      <c r="I875" s="4">
        <v>0</v>
      </c>
    </row>
    <row r="876" spans="1:9" x14ac:dyDescent="0.2">
      <c r="A876" s="2">
        <v>16</v>
      </c>
      <c r="B876" s="1" t="s">
        <v>124</v>
      </c>
      <c r="C876" s="4">
        <v>25</v>
      </c>
      <c r="D876" s="8">
        <v>1.31</v>
      </c>
      <c r="E876" s="4">
        <v>17</v>
      </c>
      <c r="F876" s="8">
        <v>1.54</v>
      </c>
      <c r="G876" s="4">
        <v>8</v>
      </c>
      <c r="H876" s="8">
        <v>1.07</v>
      </c>
      <c r="I876" s="4">
        <v>0</v>
      </c>
    </row>
    <row r="877" spans="1:9" x14ac:dyDescent="0.2">
      <c r="A877" s="2">
        <v>16</v>
      </c>
      <c r="B877" s="1" t="s">
        <v>159</v>
      </c>
      <c r="C877" s="4">
        <v>25</v>
      </c>
      <c r="D877" s="8">
        <v>1.31</v>
      </c>
      <c r="E877" s="4">
        <v>12</v>
      </c>
      <c r="F877" s="8">
        <v>1.08</v>
      </c>
      <c r="G877" s="4">
        <v>13</v>
      </c>
      <c r="H877" s="8">
        <v>1.73</v>
      </c>
      <c r="I877" s="4">
        <v>0</v>
      </c>
    </row>
    <row r="878" spans="1:9" x14ac:dyDescent="0.2">
      <c r="A878" s="2">
        <v>18</v>
      </c>
      <c r="B878" s="1" t="s">
        <v>139</v>
      </c>
      <c r="C878" s="4">
        <v>23</v>
      </c>
      <c r="D878" s="8">
        <v>1.2</v>
      </c>
      <c r="E878" s="4">
        <v>21</v>
      </c>
      <c r="F878" s="8">
        <v>1.9</v>
      </c>
      <c r="G878" s="4">
        <v>2</v>
      </c>
      <c r="H878" s="8">
        <v>0.27</v>
      </c>
      <c r="I878" s="4">
        <v>0</v>
      </c>
    </row>
    <row r="879" spans="1:9" x14ac:dyDescent="0.2">
      <c r="A879" s="2">
        <v>18</v>
      </c>
      <c r="B879" s="1" t="s">
        <v>200</v>
      </c>
      <c r="C879" s="4">
        <v>23</v>
      </c>
      <c r="D879" s="8">
        <v>1.2</v>
      </c>
      <c r="E879" s="4">
        <v>1</v>
      </c>
      <c r="F879" s="8">
        <v>0.09</v>
      </c>
      <c r="G879" s="4">
        <v>3</v>
      </c>
      <c r="H879" s="8">
        <v>0.4</v>
      </c>
      <c r="I879" s="4">
        <v>0</v>
      </c>
    </row>
    <row r="880" spans="1:9" x14ac:dyDescent="0.2">
      <c r="A880" s="2">
        <v>20</v>
      </c>
      <c r="B880" s="1" t="s">
        <v>151</v>
      </c>
      <c r="C880" s="4">
        <v>21</v>
      </c>
      <c r="D880" s="8">
        <v>1.1000000000000001</v>
      </c>
      <c r="E880" s="4">
        <v>16</v>
      </c>
      <c r="F880" s="8">
        <v>1.45</v>
      </c>
      <c r="G880" s="4">
        <v>4</v>
      </c>
      <c r="H880" s="8">
        <v>0.53</v>
      </c>
      <c r="I880" s="4">
        <v>1</v>
      </c>
    </row>
    <row r="881" spans="1:9" x14ac:dyDescent="0.2">
      <c r="A881" s="1"/>
      <c r="C881" s="4"/>
      <c r="D881" s="8"/>
      <c r="E881" s="4"/>
      <c r="F881" s="8"/>
      <c r="G881" s="4"/>
      <c r="H881" s="8"/>
      <c r="I881" s="4"/>
    </row>
    <row r="882" spans="1:9" x14ac:dyDescent="0.2">
      <c r="A882" s="1" t="s">
        <v>39</v>
      </c>
      <c r="C882" s="4"/>
      <c r="D882" s="8"/>
      <c r="E882" s="4"/>
      <c r="F882" s="8"/>
      <c r="G882" s="4"/>
      <c r="H882" s="8"/>
      <c r="I882" s="4"/>
    </row>
    <row r="883" spans="1:9" x14ac:dyDescent="0.2">
      <c r="A883" s="2">
        <v>1</v>
      </c>
      <c r="B883" s="1" t="s">
        <v>122</v>
      </c>
      <c r="C883" s="4">
        <v>17</v>
      </c>
      <c r="D883" s="8">
        <v>5.43</v>
      </c>
      <c r="E883" s="4">
        <v>3</v>
      </c>
      <c r="F883" s="8">
        <v>2.5</v>
      </c>
      <c r="G883" s="4">
        <v>14</v>
      </c>
      <c r="H883" s="8">
        <v>7.41</v>
      </c>
      <c r="I883" s="4">
        <v>0</v>
      </c>
    </row>
    <row r="884" spans="1:9" x14ac:dyDescent="0.2">
      <c r="A884" s="2">
        <v>2</v>
      </c>
      <c r="B884" s="1" t="s">
        <v>138</v>
      </c>
      <c r="C884" s="4">
        <v>10</v>
      </c>
      <c r="D884" s="8">
        <v>3.19</v>
      </c>
      <c r="E884" s="4">
        <v>9</v>
      </c>
      <c r="F884" s="8">
        <v>7.5</v>
      </c>
      <c r="G884" s="4">
        <v>1</v>
      </c>
      <c r="H884" s="8">
        <v>0.53</v>
      </c>
      <c r="I884" s="4">
        <v>0</v>
      </c>
    </row>
    <row r="885" spans="1:9" x14ac:dyDescent="0.2">
      <c r="A885" s="2">
        <v>2</v>
      </c>
      <c r="B885" s="1" t="s">
        <v>140</v>
      </c>
      <c r="C885" s="4">
        <v>10</v>
      </c>
      <c r="D885" s="8">
        <v>3.19</v>
      </c>
      <c r="E885" s="4">
        <v>5</v>
      </c>
      <c r="F885" s="8">
        <v>4.17</v>
      </c>
      <c r="G885" s="4">
        <v>5</v>
      </c>
      <c r="H885" s="8">
        <v>2.65</v>
      </c>
      <c r="I885" s="4">
        <v>0</v>
      </c>
    </row>
    <row r="886" spans="1:9" x14ac:dyDescent="0.2">
      <c r="A886" s="2">
        <v>4</v>
      </c>
      <c r="B886" s="1" t="s">
        <v>123</v>
      </c>
      <c r="C886" s="4">
        <v>8</v>
      </c>
      <c r="D886" s="8">
        <v>2.56</v>
      </c>
      <c r="E886" s="4">
        <v>2</v>
      </c>
      <c r="F886" s="8">
        <v>1.67</v>
      </c>
      <c r="G886" s="4">
        <v>6</v>
      </c>
      <c r="H886" s="8">
        <v>3.17</v>
      </c>
      <c r="I886" s="4">
        <v>0</v>
      </c>
    </row>
    <row r="887" spans="1:9" x14ac:dyDescent="0.2">
      <c r="A887" s="2">
        <v>4</v>
      </c>
      <c r="B887" s="1" t="s">
        <v>159</v>
      </c>
      <c r="C887" s="4">
        <v>8</v>
      </c>
      <c r="D887" s="8">
        <v>2.56</v>
      </c>
      <c r="E887" s="4">
        <v>2</v>
      </c>
      <c r="F887" s="8">
        <v>1.67</v>
      </c>
      <c r="G887" s="4">
        <v>6</v>
      </c>
      <c r="H887" s="8">
        <v>3.17</v>
      </c>
      <c r="I887" s="4">
        <v>0</v>
      </c>
    </row>
    <row r="888" spans="1:9" x14ac:dyDescent="0.2">
      <c r="A888" s="2">
        <v>4</v>
      </c>
      <c r="B888" s="1" t="s">
        <v>136</v>
      </c>
      <c r="C888" s="4">
        <v>8</v>
      </c>
      <c r="D888" s="8">
        <v>2.56</v>
      </c>
      <c r="E888" s="4">
        <v>7</v>
      </c>
      <c r="F888" s="8">
        <v>5.83</v>
      </c>
      <c r="G888" s="4">
        <v>1</v>
      </c>
      <c r="H888" s="8">
        <v>0.53</v>
      </c>
      <c r="I888" s="4">
        <v>0</v>
      </c>
    </row>
    <row r="889" spans="1:9" x14ac:dyDescent="0.2">
      <c r="A889" s="2">
        <v>7</v>
      </c>
      <c r="B889" s="1" t="s">
        <v>124</v>
      </c>
      <c r="C889" s="4">
        <v>7</v>
      </c>
      <c r="D889" s="8">
        <v>2.2400000000000002</v>
      </c>
      <c r="E889" s="4">
        <v>4</v>
      </c>
      <c r="F889" s="8">
        <v>3.33</v>
      </c>
      <c r="G889" s="4">
        <v>3</v>
      </c>
      <c r="H889" s="8">
        <v>1.59</v>
      </c>
      <c r="I889" s="4">
        <v>0</v>
      </c>
    </row>
    <row r="890" spans="1:9" x14ac:dyDescent="0.2">
      <c r="A890" s="2">
        <v>7</v>
      </c>
      <c r="B890" s="1" t="s">
        <v>132</v>
      </c>
      <c r="C890" s="4">
        <v>7</v>
      </c>
      <c r="D890" s="8">
        <v>2.2400000000000002</v>
      </c>
      <c r="E890" s="4">
        <v>0</v>
      </c>
      <c r="F890" s="8">
        <v>0</v>
      </c>
      <c r="G890" s="4">
        <v>7</v>
      </c>
      <c r="H890" s="8">
        <v>3.7</v>
      </c>
      <c r="I890" s="4">
        <v>0</v>
      </c>
    </row>
    <row r="891" spans="1:9" x14ac:dyDescent="0.2">
      <c r="A891" s="2">
        <v>7</v>
      </c>
      <c r="B891" s="1" t="s">
        <v>133</v>
      </c>
      <c r="C891" s="4">
        <v>7</v>
      </c>
      <c r="D891" s="8">
        <v>2.2400000000000002</v>
      </c>
      <c r="E891" s="4">
        <v>4</v>
      </c>
      <c r="F891" s="8">
        <v>3.33</v>
      </c>
      <c r="G891" s="4">
        <v>3</v>
      </c>
      <c r="H891" s="8">
        <v>1.59</v>
      </c>
      <c r="I891" s="4">
        <v>0</v>
      </c>
    </row>
    <row r="892" spans="1:9" x14ac:dyDescent="0.2">
      <c r="A892" s="2">
        <v>7</v>
      </c>
      <c r="B892" s="1" t="s">
        <v>202</v>
      </c>
      <c r="C892" s="4">
        <v>7</v>
      </c>
      <c r="D892" s="8">
        <v>2.2400000000000002</v>
      </c>
      <c r="E892" s="4">
        <v>2</v>
      </c>
      <c r="F892" s="8">
        <v>1.67</v>
      </c>
      <c r="G892" s="4">
        <v>5</v>
      </c>
      <c r="H892" s="8">
        <v>2.65</v>
      </c>
      <c r="I892" s="4">
        <v>0</v>
      </c>
    </row>
    <row r="893" spans="1:9" x14ac:dyDescent="0.2">
      <c r="A893" s="2">
        <v>11</v>
      </c>
      <c r="B893" s="1" t="s">
        <v>186</v>
      </c>
      <c r="C893" s="4">
        <v>6</v>
      </c>
      <c r="D893" s="8">
        <v>1.92</v>
      </c>
      <c r="E893" s="4">
        <v>3</v>
      </c>
      <c r="F893" s="8">
        <v>2.5</v>
      </c>
      <c r="G893" s="4">
        <v>3</v>
      </c>
      <c r="H893" s="8">
        <v>1.59</v>
      </c>
      <c r="I893" s="4">
        <v>0</v>
      </c>
    </row>
    <row r="894" spans="1:9" x14ac:dyDescent="0.2">
      <c r="A894" s="2">
        <v>11</v>
      </c>
      <c r="B894" s="1" t="s">
        <v>127</v>
      </c>
      <c r="C894" s="4">
        <v>6</v>
      </c>
      <c r="D894" s="8">
        <v>1.92</v>
      </c>
      <c r="E894" s="4">
        <v>3</v>
      </c>
      <c r="F894" s="8">
        <v>2.5</v>
      </c>
      <c r="G894" s="4">
        <v>3</v>
      </c>
      <c r="H894" s="8">
        <v>1.59</v>
      </c>
      <c r="I894" s="4">
        <v>0</v>
      </c>
    </row>
    <row r="895" spans="1:9" x14ac:dyDescent="0.2">
      <c r="A895" s="2">
        <v>11</v>
      </c>
      <c r="B895" s="1" t="s">
        <v>137</v>
      </c>
      <c r="C895" s="4">
        <v>6</v>
      </c>
      <c r="D895" s="8">
        <v>1.92</v>
      </c>
      <c r="E895" s="4">
        <v>6</v>
      </c>
      <c r="F895" s="8">
        <v>5</v>
      </c>
      <c r="G895" s="4">
        <v>0</v>
      </c>
      <c r="H895" s="8">
        <v>0</v>
      </c>
      <c r="I895" s="4">
        <v>0</v>
      </c>
    </row>
    <row r="896" spans="1:9" x14ac:dyDescent="0.2">
      <c r="A896" s="2">
        <v>14</v>
      </c>
      <c r="B896" s="1" t="s">
        <v>150</v>
      </c>
      <c r="C896" s="4">
        <v>5</v>
      </c>
      <c r="D896" s="8">
        <v>1.6</v>
      </c>
      <c r="E896" s="4">
        <v>1</v>
      </c>
      <c r="F896" s="8">
        <v>0.83</v>
      </c>
      <c r="G896" s="4">
        <v>4</v>
      </c>
      <c r="H896" s="8">
        <v>2.12</v>
      </c>
      <c r="I896" s="4">
        <v>0</v>
      </c>
    </row>
    <row r="897" spans="1:9" x14ac:dyDescent="0.2">
      <c r="A897" s="2">
        <v>14</v>
      </c>
      <c r="B897" s="1" t="s">
        <v>201</v>
      </c>
      <c r="C897" s="4">
        <v>5</v>
      </c>
      <c r="D897" s="8">
        <v>1.6</v>
      </c>
      <c r="E897" s="4">
        <v>1</v>
      </c>
      <c r="F897" s="8">
        <v>0.83</v>
      </c>
      <c r="G897" s="4">
        <v>4</v>
      </c>
      <c r="H897" s="8">
        <v>2.12</v>
      </c>
      <c r="I897" s="4">
        <v>0</v>
      </c>
    </row>
    <row r="898" spans="1:9" x14ac:dyDescent="0.2">
      <c r="A898" s="2">
        <v>14</v>
      </c>
      <c r="B898" s="1" t="s">
        <v>151</v>
      </c>
      <c r="C898" s="4">
        <v>5</v>
      </c>
      <c r="D898" s="8">
        <v>1.6</v>
      </c>
      <c r="E898" s="4">
        <v>4</v>
      </c>
      <c r="F898" s="8">
        <v>3.33</v>
      </c>
      <c r="G898" s="4">
        <v>1</v>
      </c>
      <c r="H898" s="8">
        <v>0.53</v>
      </c>
      <c r="I898" s="4">
        <v>0</v>
      </c>
    </row>
    <row r="899" spans="1:9" x14ac:dyDescent="0.2">
      <c r="A899" s="2">
        <v>14</v>
      </c>
      <c r="B899" s="1" t="s">
        <v>129</v>
      </c>
      <c r="C899" s="4">
        <v>5</v>
      </c>
      <c r="D899" s="8">
        <v>1.6</v>
      </c>
      <c r="E899" s="4">
        <v>3</v>
      </c>
      <c r="F899" s="8">
        <v>2.5</v>
      </c>
      <c r="G899" s="4">
        <v>2</v>
      </c>
      <c r="H899" s="8">
        <v>1.06</v>
      </c>
      <c r="I899" s="4">
        <v>0</v>
      </c>
    </row>
    <row r="900" spans="1:9" x14ac:dyDescent="0.2">
      <c r="A900" s="2">
        <v>14</v>
      </c>
      <c r="B900" s="1" t="s">
        <v>147</v>
      </c>
      <c r="C900" s="4">
        <v>5</v>
      </c>
      <c r="D900" s="8">
        <v>1.6</v>
      </c>
      <c r="E900" s="4">
        <v>0</v>
      </c>
      <c r="F900" s="8">
        <v>0</v>
      </c>
      <c r="G900" s="4">
        <v>5</v>
      </c>
      <c r="H900" s="8">
        <v>2.65</v>
      </c>
      <c r="I900" s="4">
        <v>0</v>
      </c>
    </row>
    <row r="901" spans="1:9" x14ac:dyDescent="0.2">
      <c r="A901" s="2">
        <v>14</v>
      </c>
      <c r="B901" s="1" t="s">
        <v>144</v>
      </c>
      <c r="C901" s="4">
        <v>5</v>
      </c>
      <c r="D901" s="8">
        <v>1.6</v>
      </c>
      <c r="E901" s="4">
        <v>2</v>
      </c>
      <c r="F901" s="8">
        <v>1.67</v>
      </c>
      <c r="G901" s="4">
        <v>3</v>
      </c>
      <c r="H901" s="8">
        <v>1.59</v>
      </c>
      <c r="I901" s="4">
        <v>0</v>
      </c>
    </row>
    <row r="902" spans="1:9" x14ac:dyDescent="0.2">
      <c r="A902" s="2">
        <v>14</v>
      </c>
      <c r="B902" s="1" t="s">
        <v>165</v>
      </c>
      <c r="C902" s="4">
        <v>5</v>
      </c>
      <c r="D902" s="8">
        <v>1.6</v>
      </c>
      <c r="E902" s="4">
        <v>4</v>
      </c>
      <c r="F902" s="8">
        <v>3.33</v>
      </c>
      <c r="G902" s="4">
        <v>1</v>
      </c>
      <c r="H902" s="8">
        <v>0.53</v>
      </c>
      <c r="I902" s="4">
        <v>0</v>
      </c>
    </row>
    <row r="903" spans="1:9" x14ac:dyDescent="0.2">
      <c r="A903" s="2">
        <v>14</v>
      </c>
      <c r="B903" s="1" t="s">
        <v>149</v>
      </c>
      <c r="C903" s="4">
        <v>5</v>
      </c>
      <c r="D903" s="8">
        <v>1.6</v>
      </c>
      <c r="E903" s="4">
        <v>0</v>
      </c>
      <c r="F903" s="8">
        <v>0</v>
      </c>
      <c r="G903" s="4">
        <v>5</v>
      </c>
      <c r="H903" s="8">
        <v>2.65</v>
      </c>
      <c r="I903" s="4">
        <v>0</v>
      </c>
    </row>
    <row r="904" spans="1:9" x14ac:dyDescent="0.2">
      <c r="A904" s="1"/>
      <c r="C904" s="4"/>
      <c r="D904" s="8"/>
      <c r="E904" s="4"/>
      <c r="F904" s="8"/>
      <c r="G904" s="4"/>
      <c r="H904" s="8"/>
      <c r="I904" s="4"/>
    </row>
    <row r="905" spans="1:9" x14ac:dyDescent="0.2">
      <c r="A905" s="1" t="s">
        <v>40</v>
      </c>
      <c r="C905" s="4"/>
      <c r="D905" s="8"/>
      <c r="E905" s="4"/>
      <c r="F905" s="8"/>
      <c r="G905" s="4"/>
      <c r="H905" s="8"/>
      <c r="I905" s="4"/>
    </row>
    <row r="906" spans="1:9" x14ac:dyDescent="0.2">
      <c r="A906" s="2">
        <v>1</v>
      </c>
      <c r="B906" s="1" t="s">
        <v>173</v>
      </c>
      <c r="C906" s="4">
        <v>64</v>
      </c>
      <c r="D906" s="8">
        <v>9.09</v>
      </c>
      <c r="E906" s="4">
        <v>32</v>
      </c>
      <c r="F906" s="8">
        <v>6.67</v>
      </c>
      <c r="G906" s="4">
        <v>32</v>
      </c>
      <c r="H906" s="8">
        <v>14.41</v>
      </c>
      <c r="I906" s="4">
        <v>0</v>
      </c>
    </row>
    <row r="907" spans="1:9" x14ac:dyDescent="0.2">
      <c r="A907" s="2">
        <v>2</v>
      </c>
      <c r="B907" s="1" t="s">
        <v>175</v>
      </c>
      <c r="C907" s="4">
        <v>31</v>
      </c>
      <c r="D907" s="8">
        <v>4.4000000000000004</v>
      </c>
      <c r="E907" s="4">
        <v>19</v>
      </c>
      <c r="F907" s="8">
        <v>3.96</v>
      </c>
      <c r="G907" s="4">
        <v>12</v>
      </c>
      <c r="H907" s="8">
        <v>5.41</v>
      </c>
      <c r="I907" s="4">
        <v>0</v>
      </c>
    </row>
    <row r="908" spans="1:9" x14ac:dyDescent="0.2">
      <c r="A908" s="2">
        <v>3</v>
      </c>
      <c r="B908" s="1" t="s">
        <v>174</v>
      </c>
      <c r="C908" s="4">
        <v>30</v>
      </c>
      <c r="D908" s="8">
        <v>4.26</v>
      </c>
      <c r="E908" s="4">
        <v>30</v>
      </c>
      <c r="F908" s="8">
        <v>6.25</v>
      </c>
      <c r="G908" s="4">
        <v>0</v>
      </c>
      <c r="H908" s="8">
        <v>0</v>
      </c>
      <c r="I908" s="4">
        <v>0</v>
      </c>
    </row>
    <row r="909" spans="1:9" x14ac:dyDescent="0.2">
      <c r="A909" s="2">
        <v>4</v>
      </c>
      <c r="B909" s="1" t="s">
        <v>138</v>
      </c>
      <c r="C909" s="4">
        <v>28</v>
      </c>
      <c r="D909" s="8">
        <v>3.98</v>
      </c>
      <c r="E909" s="4">
        <v>28</v>
      </c>
      <c r="F909" s="8">
        <v>5.83</v>
      </c>
      <c r="G909" s="4">
        <v>0</v>
      </c>
      <c r="H909" s="8">
        <v>0</v>
      </c>
      <c r="I909" s="4">
        <v>0</v>
      </c>
    </row>
    <row r="910" spans="1:9" x14ac:dyDescent="0.2">
      <c r="A910" s="2">
        <v>5</v>
      </c>
      <c r="B910" s="1" t="s">
        <v>124</v>
      </c>
      <c r="C910" s="4">
        <v>25</v>
      </c>
      <c r="D910" s="8">
        <v>3.55</v>
      </c>
      <c r="E910" s="4">
        <v>20</v>
      </c>
      <c r="F910" s="8">
        <v>4.17</v>
      </c>
      <c r="G910" s="4">
        <v>5</v>
      </c>
      <c r="H910" s="8">
        <v>2.25</v>
      </c>
      <c r="I910" s="4">
        <v>0</v>
      </c>
    </row>
    <row r="911" spans="1:9" x14ac:dyDescent="0.2">
      <c r="A911" s="2">
        <v>6</v>
      </c>
      <c r="B911" s="1" t="s">
        <v>169</v>
      </c>
      <c r="C911" s="4">
        <v>23</v>
      </c>
      <c r="D911" s="8">
        <v>3.27</v>
      </c>
      <c r="E911" s="4">
        <v>20</v>
      </c>
      <c r="F911" s="8">
        <v>4.17</v>
      </c>
      <c r="G911" s="4">
        <v>3</v>
      </c>
      <c r="H911" s="8">
        <v>1.35</v>
      </c>
      <c r="I911" s="4">
        <v>0</v>
      </c>
    </row>
    <row r="912" spans="1:9" x14ac:dyDescent="0.2">
      <c r="A912" s="2">
        <v>7</v>
      </c>
      <c r="B912" s="1" t="s">
        <v>127</v>
      </c>
      <c r="C912" s="4">
        <v>20</v>
      </c>
      <c r="D912" s="8">
        <v>2.84</v>
      </c>
      <c r="E912" s="4">
        <v>14</v>
      </c>
      <c r="F912" s="8">
        <v>2.92</v>
      </c>
      <c r="G912" s="4">
        <v>6</v>
      </c>
      <c r="H912" s="8">
        <v>2.7</v>
      </c>
      <c r="I912" s="4">
        <v>0</v>
      </c>
    </row>
    <row r="913" spans="1:9" x14ac:dyDescent="0.2">
      <c r="A913" s="2">
        <v>8</v>
      </c>
      <c r="B913" s="1" t="s">
        <v>122</v>
      </c>
      <c r="C913" s="4">
        <v>19</v>
      </c>
      <c r="D913" s="8">
        <v>2.7</v>
      </c>
      <c r="E913" s="4">
        <v>9</v>
      </c>
      <c r="F913" s="8">
        <v>1.88</v>
      </c>
      <c r="G913" s="4">
        <v>10</v>
      </c>
      <c r="H913" s="8">
        <v>4.5</v>
      </c>
      <c r="I913" s="4">
        <v>0</v>
      </c>
    </row>
    <row r="914" spans="1:9" x14ac:dyDescent="0.2">
      <c r="A914" s="2">
        <v>9</v>
      </c>
      <c r="B914" s="1" t="s">
        <v>129</v>
      </c>
      <c r="C914" s="4">
        <v>17</v>
      </c>
      <c r="D914" s="8">
        <v>2.41</v>
      </c>
      <c r="E914" s="4">
        <v>12</v>
      </c>
      <c r="F914" s="8">
        <v>2.5</v>
      </c>
      <c r="G914" s="4">
        <v>5</v>
      </c>
      <c r="H914" s="8">
        <v>2.25</v>
      </c>
      <c r="I914" s="4">
        <v>0</v>
      </c>
    </row>
    <row r="915" spans="1:9" x14ac:dyDescent="0.2">
      <c r="A915" s="2">
        <v>10</v>
      </c>
      <c r="B915" s="1" t="s">
        <v>136</v>
      </c>
      <c r="C915" s="4">
        <v>16</v>
      </c>
      <c r="D915" s="8">
        <v>2.27</v>
      </c>
      <c r="E915" s="4">
        <v>16</v>
      </c>
      <c r="F915" s="8">
        <v>3.33</v>
      </c>
      <c r="G915" s="4">
        <v>0</v>
      </c>
      <c r="H915" s="8">
        <v>0</v>
      </c>
      <c r="I915" s="4">
        <v>0</v>
      </c>
    </row>
    <row r="916" spans="1:9" x14ac:dyDescent="0.2">
      <c r="A916" s="2">
        <v>10</v>
      </c>
      <c r="B916" s="1" t="s">
        <v>137</v>
      </c>
      <c r="C916" s="4">
        <v>16</v>
      </c>
      <c r="D916" s="8">
        <v>2.27</v>
      </c>
      <c r="E916" s="4">
        <v>16</v>
      </c>
      <c r="F916" s="8">
        <v>3.33</v>
      </c>
      <c r="G916" s="4">
        <v>0</v>
      </c>
      <c r="H916" s="8">
        <v>0</v>
      </c>
      <c r="I916" s="4">
        <v>0</v>
      </c>
    </row>
    <row r="917" spans="1:9" x14ac:dyDescent="0.2">
      <c r="A917" s="2">
        <v>12</v>
      </c>
      <c r="B917" s="1" t="s">
        <v>123</v>
      </c>
      <c r="C917" s="4">
        <v>12</v>
      </c>
      <c r="D917" s="8">
        <v>1.7</v>
      </c>
      <c r="E917" s="4">
        <v>8</v>
      </c>
      <c r="F917" s="8">
        <v>1.67</v>
      </c>
      <c r="G917" s="4">
        <v>4</v>
      </c>
      <c r="H917" s="8">
        <v>1.8</v>
      </c>
      <c r="I917" s="4">
        <v>0</v>
      </c>
    </row>
    <row r="918" spans="1:9" x14ac:dyDescent="0.2">
      <c r="A918" s="2">
        <v>12</v>
      </c>
      <c r="B918" s="1" t="s">
        <v>128</v>
      </c>
      <c r="C918" s="4">
        <v>12</v>
      </c>
      <c r="D918" s="8">
        <v>1.7</v>
      </c>
      <c r="E918" s="4">
        <v>7</v>
      </c>
      <c r="F918" s="8">
        <v>1.46</v>
      </c>
      <c r="G918" s="4">
        <v>5</v>
      </c>
      <c r="H918" s="8">
        <v>2.25</v>
      </c>
      <c r="I918" s="4">
        <v>0</v>
      </c>
    </row>
    <row r="919" spans="1:9" x14ac:dyDescent="0.2">
      <c r="A919" s="2">
        <v>14</v>
      </c>
      <c r="B919" s="1" t="s">
        <v>190</v>
      </c>
      <c r="C919" s="4">
        <v>11</v>
      </c>
      <c r="D919" s="8">
        <v>1.56</v>
      </c>
      <c r="E919" s="4">
        <v>10</v>
      </c>
      <c r="F919" s="8">
        <v>2.08</v>
      </c>
      <c r="G919" s="4">
        <v>1</v>
      </c>
      <c r="H919" s="8">
        <v>0.45</v>
      </c>
      <c r="I919" s="4">
        <v>0</v>
      </c>
    </row>
    <row r="920" spans="1:9" x14ac:dyDescent="0.2">
      <c r="A920" s="2">
        <v>14</v>
      </c>
      <c r="B920" s="1" t="s">
        <v>165</v>
      </c>
      <c r="C920" s="4">
        <v>11</v>
      </c>
      <c r="D920" s="8">
        <v>1.56</v>
      </c>
      <c r="E920" s="4">
        <v>9</v>
      </c>
      <c r="F920" s="8">
        <v>1.88</v>
      </c>
      <c r="G920" s="4">
        <v>2</v>
      </c>
      <c r="H920" s="8">
        <v>0.9</v>
      </c>
      <c r="I920" s="4">
        <v>0</v>
      </c>
    </row>
    <row r="921" spans="1:9" x14ac:dyDescent="0.2">
      <c r="A921" s="2">
        <v>16</v>
      </c>
      <c r="B921" s="1" t="s">
        <v>150</v>
      </c>
      <c r="C921" s="4">
        <v>9</v>
      </c>
      <c r="D921" s="8">
        <v>1.28</v>
      </c>
      <c r="E921" s="4">
        <v>4</v>
      </c>
      <c r="F921" s="8">
        <v>0.83</v>
      </c>
      <c r="G921" s="4">
        <v>5</v>
      </c>
      <c r="H921" s="8">
        <v>2.25</v>
      </c>
      <c r="I921" s="4">
        <v>0</v>
      </c>
    </row>
    <row r="922" spans="1:9" x14ac:dyDescent="0.2">
      <c r="A922" s="2">
        <v>16</v>
      </c>
      <c r="B922" s="1" t="s">
        <v>144</v>
      </c>
      <c r="C922" s="4">
        <v>9</v>
      </c>
      <c r="D922" s="8">
        <v>1.28</v>
      </c>
      <c r="E922" s="4">
        <v>5</v>
      </c>
      <c r="F922" s="8">
        <v>1.04</v>
      </c>
      <c r="G922" s="4">
        <v>4</v>
      </c>
      <c r="H922" s="8">
        <v>1.8</v>
      </c>
      <c r="I922" s="4">
        <v>0</v>
      </c>
    </row>
    <row r="923" spans="1:9" x14ac:dyDescent="0.2">
      <c r="A923" s="2">
        <v>16</v>
      </c>
      <c r="B923" s="1" t="s">
        <v>133</v>
      </c>
      <c r="C923" s="4">
        <v>9</v>
      </c>
      <c r="D923" s="8">
        <v>1.28</v>
      </c>
      <c r="E923" s="4">
        <v>9</v>
      </c>
      <c r="F923" s="8">
        <v>1.88</v>
      </c>
      <c r="G923" s="4">
        <v>0</v>
      </c>
      <c r="H923" s="8">
        <v>0</v>
      </c>
      <c r="I923" s="4">
        <v>0</v>
      </c>
    </row>
    <row r="924" spans="1:9" x14ac:dyDescent="0.2">
      <c r="A924" s="2">
        <v>19</v>
      </c>
      <c r="B924" s="1" t="s">
        <v>185</v>
      </c>
      <c r="C924" s="4">
        <v>8</v>
      </c>
      <c r="D924" s="8">
        <v>1.1399999999999999</v>
      </c>
      <c r="E924" s="4">
        <v>8</v>
      </c>
      <c r="F924" s="8">
        <v>1.67</v>
      </c>
      <c r="G924" s="4">
        <v>0</v>
      </c>
      <c r="H924" s="8">
        <v>0</v>
      </c>
      <c r="I924" s="4">
        <v>0</v>
      </c>
    </row>
    <row r="925" spans="1:9" x14ac:dyDescent="0.2">
      <c r="A925" s="2">
        <v>19</v>
      </c>
      <c r="B925" s="1" t="s">
        <v>203</v>
      </c>
      <c r="C925" s="4">
        <v>8</v>
      </c>
      <c r="D925" s="8">
        <v>1.1399999999999999</v>
      </c>
      <c r="E925" s="4">
        <v>5</v>
      </c>
      <c r="F925" s="8">
        <v>1.04</v>
      </c>
      <c r="G925" s="4">
        <v>3</v>
      </c>
      <c r="H925" s="8">
        <v>1.35</v>
      </c>
      <c r="I925" s="4">
        <v>0</v>
      </c>
    </row>
    <row r="926" spans="1:9" x14ac:dyDescent="0.2">
      <c r="A926" s="2">
        <v>19</v>
      </c>
      <c r="B926" s="1" t="s">
        <v>154</v>
      </c>
      <c r="C926" s="4">
        <v>8</v>
      </c>
      <c r="D926" s="8">
        <v>1.1399999999999999</v>
      </c>
      <c r="E926" s="4">
        <v>7</v>
      </c>
      <c r="F926" s="8">
        <v>1.46</v>
      </c>
      <c r="G926" s="4">
        <v>1</v>
      </c>
      <c r="H926" s="8">
        <v>0.45</v>
      </c>
      <c r="I926" s="4">
        <v>0</v>
      </c>
    </row>
    <row r="927" spans="1:9" x14ac:dyDescent="0.2">
      <c r="A927" s="2">
        <v>19</v>
      </c>
      <c r="B927" s="1" t="s">
        <v>126</v>
      </c>
      <c r="C927" s="4">
        <v>8</v>
      </c>
      <c r="D927" s="8">
        <v>1.1399999999999999</v>
      </c>
      <c r="E927" s="4">
        <v>6</v>
      </c>
      <c r="F927" s="8">
        <v>1.25</v>
      </c>
      <c r="G927" s="4">
        <v>2</v>
      </c>
      <c r="H927" s="8">
        <v>0.9</v>
      </c>
      <c r="I927" s="4">
        <v>0</v>
      </c>
    </row>
    <row r="928" spans="1:9" x14ac:dyDescent="0.2">
      <c r="A928" s="2">
        <v>19</v>
      </c>
      <c r="B928" s="1" t="s">
        <v>146</v>
      </c>
      <c r="C928" s="4">
        <v>8</v>
      </c>
      <c r="D928" s="8">
        <v>1.1399999999999999</v>
      </c>
      <c r="E928" s="4">
        <v>6</v>
      </c>
      <c r="F928" s="8">
        <v>1.25</v>
      </c>
      <c r="G928" s="4">
        <v>2</v>
      </c>
      <c r="H928" s="8">
        <v>0.9</v>
      </c>
      <c r="I928" s="4">
        <v>0</v>
      </c>
    </row>
    <row r="929" spans="1:9" x14ac:dyDescent="0.2">
      <c r="A929" s="1"/>
      <c r="C929" s="4"/>
      <c r="D929" s="8"/>
      <c r="E929" s="4"/>
      <c r="F929" s="8"/>
      <c r="G929" s="4"/>
      <c r="H929" s="8"/>
      <c r="I929" s="4"/>
    </row>
    <row r="930" spans="1:9" x14ac:dyDescent="0.2">
      <c r="A930" s="1" t="s">
        <v>41</v>
      </c>
      <c r="C930" s="4"/>
      <c r="D930" s="8"/>
      <c r="E930" s="4"/>
      <c r="F930" s="8"/>
      <c r="G930" s="4"/>
      <c r="H930" s="8"/>
      <c r="I930" s="4"/>
    </row>
    <row r="931" spans="1:9" x14ac:dyDescent="0.2">
      <c r="A931" s="2">
        <v>1</v>
      </c>
      <c r="B931" s="1" t="s">
        <v>164</v>
      </c>
      <c r="C931" s="4">
        <v>27</v>
      </c>
      <c r="D931" s="8">
        <v>4.2699999999999996</v>
      </c>
      <c r="E931" s="4">
        <v>7</v>
      </c>
      <c r="F931" s="8">
        <v>2.5099999999999998</v>
      </c>
      <c r="G931" s="4">
        <v>20</v>
      </c>
      <c r="H931" s="8">
        <v>5.81</v>
      </c>
      <c r="I931" s="4">
        <v>0</v>
      </c>
    </row>
    <row r="932" spans="1:9" x14ac:dyDescent="0.2">
      <c r="A932" s="2">
        <v>2</v>
      </c>
      <c r="B932" s="1" t="s">
        <v>138</v>
      </c>
      <c r="C932" s="4">
        <v>25</v>
      </c>
      <c r="D932" s="8">
        <v>3.96</v>
      </c>
      <c r="E932" s="4">
        <v>23</v>
      </c>
      <c r="F932" s="8">
        <v>8.24</v>
      </c>
      <c r="G932" s="4">
        <v>2</v>
      </c>
      <c r="H932" s="8">
        <v>0.57999999999999996</v>
      </c>
      <c r="I932" s="4">
        <v>0</v>
      </c>
    </row>
    <row r="933" spans="1:9" x14ac:dyDescent="0.2">
      <c r="A933" s="2">
        <v>3</v>
      </c>
      <c r="B933" s="1" t="s">
        <v>122</v>
      </c>
      <c r="C933" s="4">
        <v>23</v>
      </c>
      <c r="D933" s="8">
        <v>3.64</v>
      </c>
      <c r="E933" s="4">
        <v>2</v>
      </c>
      <c r="F933" s="8">
        <v>0.72</v>
      </c>
      <c r="G933" s="4">
        <v>21</v>
      </c>
      <c r="H933" s="8">
        <v>6.1</v>
      </c>
      <c r="I933" s="4">
        <v>0</v>
      </c>
    </row>
    <row r="934" spans="1:9" x14ac:dyDescent="0.2">
      <c r="A934" s="2">
        <v>4</v>
      </c>
      <c r="B934" s="1" t="s">
        <v>165</v>
      </c>
      <c r="C934" s="4">
        <v>19</v>
      </c>
      <c r="D934" s="8">
        <v>3.01</v>
      </c>
      <c r="E934" s="4">
        <v>14</v>
      </c>
      <c r="F934" s="8">
        <v>5.0199999999999996</v>
      </c>
      <c r="G934" s="4">
        <v>5</v>
      </c>
      <c r="H934" s="8">
        <v>1.45</v>
      </c>
      <c r="I934" s="4">
        <v>0</v>
      </c>
    </row>
    <row r="935" spans="1:9" x14ac:dyDescent="0.2">
      <c r="A935" s="2">
        <v>5</v>
      </c>
      <c r="B935" s="1" t="s">
        <v>127</v>
      </c>
      <c r="C935" s="4">
        <v>17</v>
      </c>
      <c r="D935" s="8">
        <v>2.69</v>
      </c>
      <c r="E935" s="4">
        <v>12</v>
      </c>
      <c r="F935" s="8">
        <v>4.3</v>
      </c>
      <c r="G935" s="4">
        <v>5</v>
      </c>
      <c r="H935" s="8">
        <v>1.45</v>
      </c>
      <c r="I935" s="4">
        <v>0</v>
      </c>
    </row>
    <row r="936" spans="1:9" x14ac:dyDescent="0.2">
      <c r="A936" s="2">
        <v>6</v>
      </c>
      <c r="B936" s="1" t="s">
        <v>140</v>
      </c>
      <c r="C936" s="4">
        <v>16</v>
      </c>
      <c r="D936" s="8">
        <v>2.5299999999999998</v>
      </c>
      <c r="E936" s="4">
        <v>13</v>
      </c>
      <c r="F936" s="8">
        <v>4.66</v>
      </c>
      <c r="G936" s="4">
        <v>3</v>
      </c>
      <c r="H936" s="8">
        <v>0.87</v>
      </c>
      <c r="I936" s="4">
        <v>0</v>
      </c>
    </row>
    <row r="937" spans="1:9" x14ac:dyDescent="0.2">
      <c r="A937" s="2">
        <v>7</v>
      </c>
      <c r="B937" s="1" t="s">
        <v>150</v>
      </c>
      <c r="C937" s="4">
        <v>15</v>
      </c>
      <c r="D937" s="8">
        <v>2.37</v>
      </c>
      <c r="E937" s="4">
        <v>5</v>
      </c>
      <c r="F937" s="8">
        <v>1.79</v>
      </c>
      <c r="G937" s="4">
        <v>10</v>
      </c>
      <c r="H937" s="8">
        <v>2.91</v>
      </c>
      <c r="I937" s="4">
        <v>0</v>
      </c>
    </row>
    <row r="938" spans="1:9" x14ac:dyDescent="0.2">
      <c r="A938" s="2">
        <v>8</v>
      </c>
      <c r="B938" s="1" t="s">
        <v>132</v>
      </c>
      <c r="C938" s="4">
        <v>14</v>
      </c>
      <c r="D938" s="8">
        <v>2.2200000000000002</v>
      </c>
      <c r="E938" s="4">
        <v>6</v>
      </c>
      <c r="F938" s="8">
        <v>2.15</v>
      </c>
      <c r="G938" s="4">
        <v>8</v>
      </c>
      <c r="H938" s="8">
        <v>2.33</v>
      </c>
      <c r="I938" s="4">
        <v>0</v>
      </c>
    </row>
    <row r="939" spans="1:9" x14ac:dyDescent="0.2">
      <c r="A939" s="2">
        <v>8</v>
      </c>
      <c r="B939" s="1" t="s">
        <v>136</v>
      </c>
      <c r="C939" s="4">
        <v>14</v>
      </c>
      <c r="D939" s="8">
        <v>2.2200000000000002</v>
      </c>
      <c r="E939" s="4">
        <v>13</v>
      </c>
      <c r="F939" s="8">
        <v>4.66</v>
      </c>
      <c r="G939" s="4">
        <v>1</v>
      </c>
      <c r="H939" s="8">
        <v>0.28999999999999998</v>
      </c>
      <c r="I939" s="4">
        <v>0</v>
      </c>
    </row>
    <row r="940" spans="1:9" x14ac:dyDescent="0.2">
      <c r="A940" s="2">
        <v>10</v>
      </c>
      <c r="B940" s="1" t="s">
        <v>137</v>
      </c>
      <c r="C940" s="4">
        <v>13</v>
      </c>
      <c r="D940" s="8">
        <v>2.06</v>
      </c>
      <c r="E940" s="4">
        <v>13</v>
      </c>
      <c r="F940" s="8">
        <v>4.66</v>
      </c>
      <c r="G940" s="4">
        <v>0</v>
      </c>
      <c r="H940" s="8">
        <v>0</v>
      </c>
      <c r="I940" s="4">
        <v>0</v>
      </c>
    </row>
    <row r="941" spans="1:9" x14ac:dyDescent="0.2">
      <c r="A941" s="2">
        <v>10</v>
      </c>
      <c r="B941" s="1" t="s">
        <v>141</v>
      </c>
      <c r="C941" s="4">
        <v>13</v>
      </c>
      <c r="D941" s="8">
        <v>2.06</v>
      </c>
      <c r="E941" s="4">
        <v>11</v>
      </c>
      <c r="F941" s="8">
        <v>3.94</v>
      </c>
      <c r="G941" s="4">
        <v>2</v>
      </c>
      <c r="H941" s="8">
        <v>0.57999999999999996</v>
      </c>
      <c r="I941" s="4">
        <v>0</v>
      </c>
    </row>
    <row r="942" spans="1:9" x14ac:dyDescent="0.2">
      <c r="A942" s="2">
        <v>12</v>
      </c>
      <c r="B942" s="1" t="s">
        <v>129</v>
      </c>
      <c r="C942" s="4">
        <v>12</v>
      </c>
      <c r="D942" s="8">
        <v>1.9</v>
      </c>
      <c r="E942" s="4">
        <v>9</v>
      </c>
      <c r="F942" s="8">
        <v>3.23</v>
      </c>
      <c r="G942" s="4">
        <v>3</v>
      </c>
      <c r="H942" s="8">
        <v>0.87</v>
      </c>
      <c r="I942" s="4">
        <v>0</v>
      </c>
    </row>
    <row r="943" spans="1:9" x14ac:dyDescent="0.2">
      <c r="A943" s="2">
        <v>13</v>
      </c>
      <c r="B943" s="1" t="s">
        <v>124</v>
      </c>
      <c r="C943" s="4">
        <v>11</v>
      </c>
      <c r="D943" s="8">
        <v>1.74</v>
      </c>
      <c r="E943" s="4">
        <v>3</v>
      </c>
      <c r="F943" s="8">
        <v>1.08</v>
      </c>
      <c r="G943" s="4">
        <v>8</v>
      </c>
      <c r="H943" s="8">
        <v>2.33</v>
      </c>
      <c r="I943" s="4">
        <v>0</v>
      </c>
    </row>
    <row r="944" spans="1:9" x14ac:dyDescent="0.2">
      <c r="A944" s="2">
        <v>14</v>
      </c>
      <c r="B944" s="1" t="s">
        <v>204</v>
      </c>
      <c r="C944" s="4">
        <v>10</v>
      </c>
      <c r="D944" s="8">
        <v>1.58</v>
      </c>
      <c r="E944" s="4">
        <v>1</v>
      </c>
      <c r="F944" s="8">
        <v>0.36</v>
      </c>
      <c r="G944" s="4">
        <v>9</v>
      </c>
      <c r="H944" s="8">
        <v>2.62</v>
      </c>
      <c r="I944" s="4">
        <v>0</v>
      </c>
    </row>
    <row r="945" spans="1:9" x14ac:dyDescent="0.2">
      <c r="A945" s="2">
        <v>14</v>
      </c>
      <c r="B945" s="1" t="s">
        <v>131</v>
      </c>
      <c r="C945" s="4">
        <v>10</v>
      </c>
      <c r="D945" s="8">
        <v>1.58</v>
      </c>
      <c r="E945" s="4">
        <v>0</v>
      </c>
      <c r="F945" s="8">
        <v>0</v>
      </c>
      <c r="G945" s="4">
        <v>10</v>
      </c>
      <c r="H945" s="8">
        <v>2.91</v>
      </c>
      <c r="I945" s="4">
        <v>0</v>
      </c>
    </row>
    <row r="946" spans="1:9" x14ac:dyDescent="0.2">
      <c r="A946" s="2">
        <v>16</v>
      </c>
      <c r="B946" s="1" t="s">
        <v>123</v>
      </c>
      <c r="C946" s="4">
        <v>9</v>
      </c>
      <c r="D946" s="8">
        <v>1.42</v>
      </c>
      <c r="E946" s="4">
        <v>0</v>
      </c>
      <c r="F946" s="8">
        <v>0</v>
      </c>
      <c r="G946" s="4">
        <v>9</v>
      </c>
      <c r="H946" s="8">
        <v>2.62</v>
      </c>
      <c r="I946" s="4">
        <v>0</v>
      </c>
    </row>
    <row r="947" spans="1:9" x14ac:dyDescent="0.2">
      <c r="A947" s="2">
        <v>16</v>
      </c>
      <c r="B947" s="1" t="s">
        <v>169</v>
      </c>
      <c r="C947" s="4">
        <v>9</v>
      </c>
      <c r="D947" s="8">
        <v>1.42</v>
      </c>
      <c r="E947" s="4">
        <v>5</v>
      </c>
      <c r="F947" s="8">
        <v>1.79</v>
      </c>
      <c r="G947" s="4">
        <v>4</v>
      </c>
      <c r="H947" s="8">
        <v>1.1599999999999999</v>
      </c>
      <c r="I947" s="4">
        <v>0</v>
      </c>
    </row>
    <row r="948" spans="1:9" x14ac:dyDescent="0.2">
      <c r="A948" s="2">
        <v>16</v>
      </c>
      <c r="B948" s="1" t="s">
        <v>159</v>
      </c>
      <c r="C948" s="4">
        <v>9</v>
      </c>
      <c r="D948" s="8">
        <v>1.42</v>
      </c>
      <c r="E948" s="4">
        <v>2</v>
      </c>
      <c r="F948" s="8">
        <v>0.72</v>
      </c>
      <c r="G948" s="4">
        <v>7</v>
      </c>
      <c r="H948" s="8">
        <v>2.0299999999999998</v>
      </c>
      <c r="I948" s="4">
        <v>0</v>
      </c>
    </row>
    <row r="949" spans="1:9" x14ac:dyDescent="0.2">
      <c r="A949" s="2">
        <v>16</v>
      </c>
      <c r="B949" s="1" t="s">
        <v>144</v>
      </c>
      <c r="C949" s="4">
        <v>9</v>
      </c>
      <c r="D949" s="8">
        <v>1.42</v>
      </c>
      <c r="E949" s="4">
        <v>4</v>
      </c>
      <c r="F949" s="8">
        <v>1.43</v>
      </c>
      <c r="G949" s="4">
        <v>5</v>
      </c>
      <c r="H949" s="8">
        <v>1.45</v>
      </c>
      <c r="I949" s="4">
        <v>0</v>
      </c>
    </row>
    <row r="950" spans="1:9" x14ac:dyDescent="0.2">
      <c r="A950" s="2">
        <v>20</v>
      </c>
      <c r="B950" s="1" t="s">
        <v>193</v>
      </c>
      <c r="C950" s="4">
        <v>8</v>
      </c>
      <c r="D950" s="8">
        <v>1.27</v>
      </c>
      <c r="E950" s="4">
        <v>1</v>
      </c>
      <c r="F950" s="8">
        <v>0.36</v>
      </c>
      <c r="G950" s="4">
        <v>7</v>
      </c>
      <c r="H950" s="8">
        <v>2.0299999999999998</v>
      </c>
      <c r="I950" s="4">
        <v>0</v>
      </c>
    </row>
    <row r="951" spans="1:9" x14ac:dyDescent="0.2">
      <c r="A951" s="2">
        <v>20</v>
      </c>
      <c r="B951" s="1" t="s">
        <v>126</v>
      </c>
      <c r="C951" s="4">
        <v>8</v>
      </c>
      <c r="D951" s="8">
        <v>1.27</v>
      </c>
      <c r="E951" s="4">
        <v>4</v>
      </c>
      <c r="F951" s="8">
        <v>1.43</v>
      </c>
      <c r="G951" s="4">
        <v>4</v>
      </c>
      <c r="H951" s="8">
        <v>1.1599999999999999</v>
      </c>
      <c r="I951" s="4">
        <v>0</v>
      </c>
    </row>
    <row r="952" spans="1:9" x14ac:dyDescent="0.2">
      <c r="A952" s="1"/>
      <c r="C952" s="4"/>
      <c r="D952" s="8"/>
      <c r="E952" s="4"/>
      <c r="F952" s="8"/>
      <c r="G952" s="4"/>
      <c r="H952" s="8"/>
      <c r="I952" s="4"/>
    </row>
    <row r="953" spans="1:9" x14ac:dyDescent="0.2">
      <c r="A953" s="1" t="s">
        <v>42</v>
      </c>
      <c r="C953" s="4"/>
      <c r="D953" s="8"/>
      <c r="E953" s="4"/>
      <c r="F953" s="8"/>
      <c r="G953" s="4"/>
      <c r="H953" s="8"/>
      <c r="I953" s="4"/>
    </row>
    <row r="954" spans="1:9" x14ac:dyDescent="0.2">
      <c r="A954" s="2">
        <v>1</v>
      </c>
      <c r="B954" s="1" t="s">
        <v>138</v>
      </c>
      <c r="C954" s="4">
        <v>39</v>
      </c>
      <c r="D954" s="8">
        <v>7</v>
      </c>
      <c r="E954" s="4">
        <v>34</v>
      </c>
      <c r="F954" s="8">
        <v>10.83</v>
      </c>
      <c r="G954" s="4">
        <v>5</v>
      </c>
      <c r="H954" s="8">
        <v>2.09</v>
      </c>
      <c r="I954" s="4">
        <v>0</v>
      </c>
    </row>
    <row r="955" spans="1:9" x14ac:dyDescent="0.2">
      <c r="A955" s="2">
        <v>2</v>
      </c>
      <c r="B955" s="1" t="s">
        <v>134</v>
      </c>
      <c r="C955" s="4">
        <v>23</v>
      </c>
      <c r="D955" s="8">
        <v>4.13</v>
      </c>
      <c r="E955" s="4">
        <v>23</v>
      </c>
      <c r="F955" s="8">
        <v>7.32</v>
      </c>
      <c r="G955" s="4">
        <v>0</v>
      </c>
      <c r="H955" s="8">
        <v>0</v>
      </c>
      <c r="I955" s="4">
        <v>0</v>
      </c>
    </row>
    <row r="956" spans="1:9" x14ac:dyDescent="0.2">
      <c r="A956" s="2">
        <v>3</v>
      </c>
      <c r="B956" s="1" t="s">
        <v>140</v>
      </c>
      <c r="C956" s="4">
        <v>21</v>
      </c>
      <c r="D956" s="8">
        <v>3.77</v>
      </c>
      <c r="E956" s="4">
        <v>19</v>
      </c>
      <c r="F956" s="8">
        <v>6.05</v>
      </c>
      <c r="G956" s="4">
        <v>2</v>
      </c>
      <c r="H956" s="8">
        <v>0.84</v>
      </c>
      <c r="I956" s="4">
        <v>0</v>
      </c>
    </row>
    <row r="957" spans="1:9" x14ac:dyDescent="0.2">
      <c r="A957" s="2">
        <v>4</v>
      </c>
      <c r="B957" s="1" t="s">
        <v>137</v>
      </c>
      <c r="C957" s="4">
        <v>20</v>
      </c>
      <c r="D957" s="8">
        <v>3.59</v>
      </c>
      <c r="E957" s="4">
        <v>20</v>
      </c>
      <c r="F957" s="8">
        <v>6.37</v>
      </c>
      <c r="G957" s="4">
        <v>0</v>
      </c>
      <c r="H957" s="8">
        <v>0</v>
      </c>
      <c r="I957" s="4">
        <v>0</v>
      </c>
    </row>
    <row r="958" spans="1:9" x14ac:dyDescent="0.2">
      <c r="A958" s="2">
        <v>5</v>
      </c>
      <c r="B958" s="1" t="s">
        <v>141</v>
      </c>
      <c r="C958" s="4">
        <v>19</v>
      </c>
      <c r="D958" s="8">
        <v>3.41</v>
      </c>
      <c r="E958" s="4">
        <v>17</v>
      </c>
      <c r="F958" s="8">
        <v>5.41</v>
      </c>
      <c r="G958" s="4">
        <v>2</v>
      </c>
      <c r="H958" s="8">
        <v>0.84</v>
      </c>
      <c r="I958" s="4">
        <v>0</v>
      </c>
    </row>
    <row r="959" spans="1:9" x14ac:dyDescent="0.2">
      <c r="A959" s="2">
        <v>6</v>
      </c>
      <c r="B959" s="1" t="s">
        <v>122</v>
      </c>
      <c r="C959" s="4">
        <v>17</v>
      </c>
      <c r="D959" s="8">
        <v>3.05</v>
      </c>
      <c r="E959" s="4">
        <v>1</v>
      </c>
      <c r="F959" s="8">
        <v>0.32</v>
      </c>
      <c r="G959" s="4">
        <v>16</v>
      </c>
      <c r="H959" s="8">
        <v>6.69</v>
      </c>
      <c r="I959" s="4">
        <v>0</v>
      </c>
    </row>
    <row r="960" spans="1:9" x14ac:dyDescent="0.2">
      <c r="A960" s="2">
        <v>7</v>
      </c>
      <c r="B960" s="1" t="s">
        <v>123</v>
      </c>
      <c r="C960" s="4">
        <v>15</v>
      </c>
      <c r="D960" s="8">
        <v>2.69</v>
      </c>
      <c r="E960" s="4">
        <v>2</v>
      </c>
      <c r="F960" s="8">
        <v>0.64</v>
      </c>
      <c r="G960" s="4">
        <v>13</v>
      </c>
      <c r="H960" s="8">
        <v>5.44</v>
      </c>
      <c r="I960" s="4">
        <v>0</v>
      </c>
    </row>
    <row r="961" spans="1:9" x14ac:dyDescent="0.2">
      <c r="A961" s="2">
        <v>7</v>
      </c>
      <c r="B961" s="1" t="s">
        <v>132</v>
      </c>
      <c r="C961" s="4">
        <v>15</v>
      </c>
      <c r="D961" s="8">
        <v>2.69</v>
      </c>
      <c r="E961" s="4">
        <v>5</v>
      </c>
      <c r="F961" s="8">
        <v>1.59</v>
      </c>
      <c r="G961" s="4">
        <v>10</v>
      </c>
      <c r="H961" s="8">
        <v>4.18</v>
      </c>
      <c r="I961" s="4">
        <v>0</v>
      </c>
    </row>
    <row r="962" spans="1:9" x14ac:dyDescent="0.2">
      <c r="A962" s="2">
        <v>9</v>
      </c>
      <c r="B962" s="1" t="s">
        <v>136</v>
      </c>
      <c r="C962" s="4">
        <v>13</v>
      </c>
      <c r="D962" s="8">
        <v>2.33</v>
      </c>
      <c r="E962" s="4">
        <v>13</v>
      </c>
      <c r="F962" s="8">
        <v>4.1399999999999997</v>
      </c>
      <c r="G962" s="4">
        <v>0</v>
      </c>
      <c r="H962" s="8">
        <v>0</v>
      </c>
      <c r="I962" s="4">
        <v>0</v>
      </c>
    </row>
    <row r="963" spans="1:9" x14ac:dyDescent="0.2">
      <c r="A963" s="2">
        <v>10</v>
      </c>
      <c r="B963" s="1" t="s">
        <v>127</v>
      </c>
      <c r="C963" s="4">
        <v>12</v>
      </c>
      <c r="D963" s="8">
        <v>2.15</v>
      </c>
      <c r="E963" s="4">
        <v>7</v>
      </c>
      <c r="F963" s="8">
        <v>2.23</v>
      </c>
      <c r="G963" s="4">
        <v>5</v>
      </c>
      <c r="H963" s="8">
        <v>2.09</v>
      </c>
      <c r="I963" s="4">
        <v>0</v>
      </c>
    </row>
    <row r="964" spans="1:9" x14ac:dyDescent="0.2">
      <c r="A964" s="2">
        <v>10</v>
      </c>
      <c r="B964" s="1" t="s">
        <v>139</v>
      </c>
      <c r="C964" s="4">
        <v>12</v>
      </c>
      <c r="D964" s="8">
        <v>2.15</v>
      </c>
      <c r="E964" s="4">
        <v>9</v>
      </c>
      <c r="F964" s="8">
        <v>2.87</v>
      </c>
      <c r="G964" s="4">
        <v>3</v>
      </c>
      <c r="H964" s="8">
        <v>1.26</v>
      </c>
      <c r="I964" s="4">
        <v>0</v>
      </c>
    </row>
    <row r="965" spans="1:9" x14ac:dyDescent="0.2">
      <c r="A965" s="2">
        <v>12</v>
      </c>
      <c r="B965" s="1" t="s">
        <v>159</v>
      </c>
      <c r="C965" s="4">
        <v>11</v>
      </c>
      <c r="D965" s="8">
        <v>1.97</v>
      </c>
      <c r="E965" s="4">
        <v>3</v>
      </c>
      <c r="F965" s="8">
        <v>0.96</v>
      </c>
      <c r="G965" s="4">
        <v>8</v>
      </c>
      <c r="H965" s="8">
        <v>3.35</v>
      </c>
      <c r="I965" s="4">
        <v>0</v>
      </c>
    </row>
    <row r="966" spans="1:9" x14ac:dyDescent="0.2">
      <c r="A966" s="2">
        <v>13</v>
      </c>
      <c r="B966" s="1" t="s">
        <v>129</v>
      </c>
      <c r="C966" s="4">
        <v>10</v>
      </c>
      <c r="D966" s="8">
        <v>1.8</v>
      </c>
      <c r="E966" s="4">
        <v>7</v>
      </c>
      <c r="F966" s="8">
        <v>2.23</v>
      </c>
      <c r="G966" s="4">
        <v>3</v>
      </c>
      <c r="H966" s="8">
        <v>1.26</v>
      </c>
      <c r="I966" s="4">
        <v>0</v>
      </c>
    </row>
    <row r="967" spans="1:9" x14ac:dyDescent="0.2">
      <c r="A967" s="2">
        <v>14</v>
      </c>
      <c r="B967" s="1" t="s">
        <v>205</v>
      </c>
      <c r="C967" s="4">
        <v>9</v>
      </c>
      <c r="D967" s="8">
        <v>1.62</v>
      </c>
      <c r="E967" s="4">
        <v>2</v>
      </c>
      <c r="F967" s="8">
        <v>0.64</v>
      </c>
      <c r="G967" s="4">
        <v>7</v>
      </c>
      <c r="H967" s="8">
        <v>2.93</v>
      </c>
      <c r="I967" s="4">
        <v>0</v>
      </c>
    </row>
    <row r="968" spans="1:9" x14ac:dyDescent="0.2">
      <c r="A968" s="2">
        <v>14</v>
      </c>
      <c r="B968" s="1" t="s">
        <v>130</v>
      </c>
      <c r="C968" s="4">
        <v>9</v>
      </c>
      <c r="D968" s="8">
        <v>1.62</v>
      </c>
      <c r="E968" s="4">
        <v>4</v>
      </c>
      <c r="F968" s="8">
        <v>1.27</v>
      </c>
      <c r="G968" s="4">
        <v>5</v>
      </c>
      <c r="H968" s="8">
        <v>2.09</v>
      </c>
      <c r="I968" s="4">
        <v>0</v>
      </c>
    </row>
    <row r="969" spans="1:9" x14ac:dyDescent="0.2">
      <c r="A969" s="2">
        <v>14</v>
      </c>
      <c r="B969" s="1" t="s">
        <v>146</v>
      </c>
      <c r="C969" s="4">
        <v>9</v>
      </c>
      <c r="D969" s="8">
        <v>1.62</v>
      </c>
      <c r="E969" s="4">
        <v>7</v>
      </c>
      <c r="F969" s="8">
        <v>2.23</v>
      </c>
      <c r="G969" s="4">
        <v>2</v>
      </c>
      <c r="H969" s="8">
        <v>0.84</v>
      </c>
      <c r="I969" s="4">
        <v>0</v>
      </c>
    </row>
    <row r="970" spans="1:9" x14ac:dyDescent="0.2">
      <c r="A970" s="2">
        <v>14</v>
      </c>
      <c r="B970" s="1" t="s">
        <v>206</v>
      </c>
      <c r="C970" s="4">
        <v>9</v>
      </c>
      <c r="D970" s="8">
        <v>1.62</v>
      </c>
      <c r="E970" s="4">
        <v>7</v>
      </c>
      <c r="F970" s="8">
        <v>2.23</v>
      </c>
      <c r="G970" s="4">
        <v>1</v>
      </c>
      <c r="H970" s="8">
        <v>0.42</v>
      </c>
      <c r="I970" s="4">
        <v>1</v>
      </c>
    </row>
    <row r="971" spans="1:9" x14ac:dyDescent="0.2">
      <c r="A971" s="2">
        <v>18</v>
      </c>
      <c r="B971" s="1" t="s">
        <v>128</v>
      </c>
      <c r="C971" s="4">
        <v>8</v>
      </c>
      <c r="D971" s="8">
        <v>1.44</v>
      </c>
      <c r="E971" s="4">
        <v>4</v>
      </c>
      <c r="F971" s="8">
        <v>1.27</v>
      </c>
      <c r="G971" s="4">
        <v>4</v>
      </c>
      <c r="H971" s="8">
        <v>1.67</v>
      </c>
      <c r="I971" s="4">
        <v>0</v>
      </c>
    </row>
    <row r="972" spans="1:9" x14ac:dyDescent="0.2">
      <c r="A972" s="2">
        <v>18</v>
      </c>
      <c r="B972" s="1" t="s">
        <v>131</v>
      </c>
      <c r="C972" s="4">
        <v>8</v>
      </c>
      <c r="D972" s="8">
        <v>1.44</v>
      </c>
      <c r="E972" s="4">
        <v>1</v>
      </c>
      <c r="F972" s="8">
        <v>0.32</v>
      </c>
      <c r="G972" s="4">
        <v>7</v>
      </c>
      <c r="H972" s="8">
        <v>2.93</v>
      </c>
      <c r="I972" s="4">
        <v>0</v>
      </c>
    </row>
    <row r="973" spans="1:9" x14ac:dyDescent="0.2">
      <c r="A973" s="2">
        <v>18</v>
      </c>
      <c r="B973" s="1" t="s">
        <v>135</v>
      </c>
      <c r="C973" s="4">
        <v>8</v>
      </c>
      <c r="D973" s="8">
        <v>1.44</v>
      </c>
      <c r="E973" s="4">
        <v>8</v>
      </c>
      <c r="F973" s="8">
        <v>2.5499999999999998</v>
      </c>
      <c r="G973" s="4">
        <v>0</v>
      </c>
      <c r="H973" s="8">
        <v>0</v>
      </c>
      <c r="I973" s="4">
        <v>0</v>
      </c>
    </row>
    <row r="974" spans="1:9" x14ac:dyDescent="0.2">
      <c r="A974" s="2">
        <v>18</v>
      </c>
      <c r="B974" s="1" t="s">
        <v>145</v>
      </c>
      <c r="C974" s="4">
        <v>8</v>
      </c>
      <c r="D974" s="8">
        <v>1.44</v>
      </c>
      <c r="E974" s="4">
        <v>8</v>
      </c>
      <c r="F974" s="8">
        <v>2.5499999999999998</v>
      </c>
      <c r="G974" s="4">
        <v>0</v>
      </c>
      <c r="H974" s="8">
        <v>0</v>
      </c>
      <c r="I974" s="4">
        <v>0</v>
      </c>
    </row>
    <row r="975" spans="1:9" x14ac:dyDescent="0.2">
      <c r="A975" s="2">
        <v>18</v>
      </c>
      <c r="B975" s="1" t="s">
        <v>166</v>
      </c>
      <c r="C975" s="4">
        <v>8</v>
      </c>
      <c r="D975" s="8">
        <v>1.44</v>
      </c>
      <c r="E975" s="4">
        <v>6</v>
      </c>
      <c r="F975" s="8">
        <v>1.91</v>
      </c>
      <c r="G975" s="4">
        <v>2</v>
      </c>
      <c r="H975" s="8">
        <v>0.84</v>
      </c>
      <c r="I975" s="4">
        <v>0</v>
      </c>
    </row>
    <row r="976" spans="1:9" x14ac:dyDescent="0.2">
      <c r="A976" s="1"/>
      <c r="C976" s="4"/>
      <c r="D976" s="8"/>
      <c r="E976" s="4"/>
      <c r="F976" s="8"/>
      <c r="G976" s="4"/>
      <c r="H976" s="8"/>
      <c r="I976" s="4"/>
    </row>
    <row r="977" spans="1:9" x14ac:dyDescent="0.2">
      <c r="A977" s="1" t="s">
        <v>43</v>
      </c>
      <c r="C977" s="4"/>
      <c r="D977" s="8"/>
      <c r="E977" s="4"/>
      <c r="F977" s="8"/>
      <c r="G977" s="4"/>
      <c r="H977" s="8"/>
      <c r="I977" s="4"/>
    </row>
    <row r="978" spans="1:9" x14ac:dyDescent="0.2">
      <c r="A978" s="2">
        <v>1</v>
      </c>
      <c r="B978" s="1" t="s">
        <v>122</v>
      </c>
      <c r="C978" s="4">
        <v>23</v>
      </c>
      <c r="D978" s="8">
        <v>7.69</v>
      </c>
      <c r="E978" s="4">
        <v>10</v>
      </c>
      <c r="F978" s="8">
        <v>4.63</v>
      </c>
      <c r="G978" s="4">
        <v>13</v>
      </c>
      <c r="H978" s="8">
        <v>16.670000000000002</v>
      </c>
      <c r="I978" s="4">
        <v>0</v>
      </c>
    </row>
    <row r="979" spans="1:9" x14ac:dyDescent="0.2">
      <c r="A979" s="2">
        <v>2</v>
      </c>
      <c r="B979" s="1" t="s">
        <v>138</v>
      </c>
      <c r="C979" s="4">
        <v>11</v>
      </c>
      <c r="D979" s="8">
        <v>3.68</v>
      </c>
      <c r="E979" s="4">
        <v>10</v>
      </c>
      <c r="F979" s="8">
        <v>4.63</v>
      </c>
      <c r="G979" s="4">
        <v>1</v>
      </c>
      <c r="H979" s="8">
        <v>1.28</v>
      </c>
      <c r="I979" s="4">
        <v>0</v>
      </c>
    </row>
    <row r="980" spans="1:9" x14ac:dyDescent="0.2">
      <c r="A980" s="2">
        <v>3</v>
      </c>
      <c r="B980" s="1" t="s">
        <v>197</v>
      </c>
      <c r="C980" s="4">
        <v>10</v>
      </c>
      <c r="D980" s="8">
        <v>3.34</v>
      </c>
      <c r="E980" s="4">
        <v>7</v>
      </c>
      <c r="F980" s="8">
        <v>3.24</v>
      </c>
      <c r="G980" s="4">
        <v>3</v>
      </c>
      <c r="H980" s="8">
        <v>3.85</v>
      </c>
      <c r="I980" s="4">
        <v>0</v>
      </c>
    </row>
    <row r="981" spans="1:9" x14ac:dyDescent="0.2">
      <c r="A981" s="2">
        <v>4</v>
      </c>
      <c r="B981" s="1" t="s">
        <v>169</v>
      </c>
      <c r="C981" s="4">
        <v>9</v>
      </c>
      <c r="D981" s="8">
        <v>3.01</v>
      </c>
      <c r="E981" s="4">
        <v>8</v>
      </c>
      <c r="F981" s="8">
        <v>3.7</v>
      </c>
      <c r="G981" s="4">
        <v>1</v>
      </c>
      <c r="H981" s="8">
        <v>1.28</v>
      </c>
      <c r="I981" s="4">
        <v>0</v>
      </c>
    </row>
    <row r="982" spans="1:9" x14ac:dyDescent="0.2">
      <c r="A982" s="2">
        <v>5</v>
      </c>
      <c r="B982" s="1" t="s">
        <v>124</v>
      </c>
      <c r="C982" s="4">
        <v>8</v>
      </c>
      <c r="D982" s="8">
        <v>2.68</v>
      </c>
      <c r="E982" s="4">
        <v>7</v>
      </c>
      <c r="F982" s="8">
        <v>3.24</v>
      </c>
      <c r="G982" s="4">
        <v>1</v>
      </c>
      <c r="H982" s="8">
        <v>1.28</v>
      </c>
      <c r="I982" s="4">
        <v>0</v>
      </c>
    </row>
    <row r="983" spans="1:9" x14ac:dyDescent="0.2">
      <c r="A983" s="2">
        <v>5</v>
      </c>
      <c r="B983" s="1" t="s">
        <v>184</v>
      </c>
      <c r="C983" s="4">
        <v>8</v>
      </c>
      <c r="D983" s="8">
        <v>2.68</v>
      </c>
      <c r="E983" s="4">
        <v>5</v>
      </c>
      <c r="F983" s="8">
        <v>2.31</v>
      </c>
      <c r="G983" s="4">
        <v>3</v>
      </c>
      <c r="H983" s="8">
        <v>3.85</v>
      </c>
      <c r="I983" s="4">
        <v>0</v>
      </c>
    </row>
    <row r="984" spans="1:9" x14ac:dyDescent="0.2">
      <c r="A984" s="2">
        <v>5</v>
      </c>
      <c r="B984" s="1" t="s">
        <v>127</v>
      </c>
      <c r="C984" s="4">
        <v>8</v>
      </c>
      <c r="D984" s="8">
        <v>2.68</v>
      </c>
      <c r="E984" s="4">
        <v>7</v>
      </c>
      <c r="F984" s="8">
        <v>3.24</v>
      </c>
      <c r="G984" s="4">
        <v>1</v>
      </c>
      <c r="H984" s="8">
        <v>1.28</v>
      </c>
      <c r="I984" s="4">
        <v>0</v>
      </c>
    </row>
    <row r="985" spans="1:9" x14ac:dyDescent="0.2">
      <c r="A985" s="2">
        <v>5</v>
      </c>
      <c r="B985" s="1" t="s">
        <v>137</v>
      </c>
      <c r="C985" s="4">
        <v>8</v>
      </c>
      <c r="D985" s="8">
        <v>2.68</v>
      </c>
      <c r="E985" s="4">
        <v>8</v>
      </c>
      <c r="F985" s="8">
        <v>3.7</v>
      </c>
      <c r="G985" s="4">
        <v>0</v>
      </c>
      <c r="H985" s="8">
        <v>0</v>
      </c>
      <c r="I985" s="4">
        <v>0</v>
      </c>
    </row>
    <row r="986" spans="1:9" x14ac:dyDescent="0.2">
      <c r="A986" s="2">
        <v>9</v>
      </c>
      <c r="B986" s="1" t="s">
        <v>190</v>
      </c>
      <c r="C986" s="4">
        <v>7</v>
      </c>
      <c r="D986" s="8">
        <v>2.34</v>
      </c>
      <c r="E986" s="4">
        <v>6</v>
      </c>
      <c r="F986" s="8">
        <v>2.78</v>
      </c>
      <c r="G986" s="4">
        <v>1</v>
      </c>
      <c r="H986" s="8">
        <v>1.28</v>
      </c>
      <c r="I986" s="4">
        <v>0</v>
      </c>
    </row>
    <row r="987" spans="1:9" x14ac:dyDescent="0.2">
      <c r="A987" s="2">
        <v>9</v>
      </c>
      <c r="B987" s="1" t="s">
        <v>139</v>
      </c>
      <c r="C987" s="4">
        <v>7</v>
      </c>
      <c r="D987" s="8">
        <v>2.34</v>
      </c>
      <c r="E987" s="4">
        <v>7</v>
      </c>
      <c r="F987" s="8">
        <v>3.24</v>
      </c>
      <c r="G987" s="4">
        <v>0</v>
      </c>
      <c r="H987" s="8">
        <v>0</v>
      </c>
      <c r="I987" s="4">
        <v>0</v>
      </c>
    </row>
    <row r="988" spans="1:9" x14ac:dyDescent="0.2">
      <c r="A988" s="2">
        <v>9</v>
      </c>
      <c r="B988" s="1" t="s">
        <v>165</v>
      </c>
      <c r="C988" s="4">
        <v>7</v>
      </c>
      <c r="D988" s="8">
        <v>2.34</v>
      </c>
      <c r="E988" s="4">
        <v>7</v>
      </c>
      <c r="F988" s="8">
        <v>3.24</v>
      </c>
      <c r="G988" s="4">
        <v>0</v>
      </c>
      <c r="H988" s="8">
        <v>0</v>
      </c>
      <c r="I988" s="4">
        <v>0</v>
      </c>
    </row>
    <row r="989" spans="1:9" x14ac:dyDescent="0.2">
      <c r="A989" s="2">
        <v>12</v>
      </c>
      <c r="B989" s="1" t="s">
        <v>151</v>
      </c>
      <c r="C989" s="4">
        <v>6</v>
      </c>
      <c r="D989" s="8">
        <v>2.0099999999999998</v>
      </c>
      <c r="E989" s="4">
        <v>6</v>
      </c>
      <c r="F989" s="8">
        <v>2.78</v>
      </c>
      <c r="G989" s="4">
        <v>0</v>
      </c>
      <c r="H989" s="8">
        <v>0</v>
      </c>
      <c r="I989" s="4">
        <v>0</v>
      </c>
    </row>
    <row r="990" spans="1:9" x14ac:dyDescent="0.2">
      <c r="A990" s="2">
        <v>12</v>
      </c>
      <c r="B990" s="1" t="s">
        <v>128</v>
      </c>
      <c r="C990" s="4">
        <v>6</v>
      </c>
      <c r="D990" s="8">
        <v>2.0099999999999998</v>
      </c>
      <c r="E990" s="4">
        <v>4</v>
      </c>
      <c r="F990" s="8">
        <v>1.85</v>
      </c>
      <c r="G990" s="4">
        <v>2</v>
      </c>
      <c r="H990" s="8">
        <v>2.56</v>
      </c>
      <c r="I990" s="4">
        <v>0</v>
      </c>
    </row>
    <row r="991" spans="1:9" x14ac:dyDescent="0.2">
      <c r="A991" s="2">
        <v>12</v>
      </c>
      <c r="B991" s="1" t="s">
        <v>172</v>
      </c>
      <c r="C991" s="4">
        <v>6</v>
      </c>
      <c r="D991" s="8">
        <v>2.0099999999999998</v>
      </c>
      <c r="E991" s="4">
        <v>3</v>
      </c>
      <c r="F991" s="8">
        <v>1.39</v>
      </c>
      <c r="G991" s="4">
        <v>3</v>
      </c>
      <c r="H991" s="8">
        <v>3.85</v>
      </c>
      <c r="I991" s="4">
        <v>0</v>
      </c>
    </row>
    <row r="992" spans="1:9" x14ac:dyDescent="0.2">
      <c r="A992" s="2">
        <v>12</v>
      </c>
      <c r="B992" s="1" t="s">
        <v>136</v>
      </c>
      <c r="C992" s="4">
        <v>6</v>
      </c>
      <c r="D992" s="8">
        <v>2.0099999999999998</v>
      </c>
      <c r="E992" s="4">
        <v>6</v>
      </c>
      <c r="F992" s="8">
        <v>2.78</v>
      </c>
      <c r="G992" s="4">
        <v>0</v>
      </c>
      <c r="H992" s="8">
        <v>0</v>
      </c>
      <c r="I992" s="4">
        <v>0</v>
      </c>
    </row>
    <row r="993" spans="1:9" x14ac:dyDescent="0.2">
      <c r="A993" s="2">
        <v>12</v>
      </c>
      <c r="B993" s="1" t="s">
        <v>141</v>
      </c>
      <c r="C993" s="4">
        <v>6</v>
      </c>
      <c r="D993" s="8">
        <v>2.0099999999999998</v>
      </c>
      <c r="E993" s="4">
        <v>6</v>
      </c>
      <c r="F993" s="8">
        <v>2.78</v>
      </c>
      <c r="G993" s="4">
        <v>0</v>
      </c>
      <c r="H993" s="8">
        <v>0</v>
      </c>
      <c r="I993" s="4">
        <v>0</v>
      </c>
    </row>
    <row r="994" spans="1:9" x14ac:dyDescent="0.2">
      <c r="A994" s="2">
        <v>17</v>
      </c>
      <c r="B994" s="1" t="s">
        <v>164</v>
      </c>
      <c r="C994" s="4">
        <v>5</v>
      </c>
      <c r="D994" s="8">
        <v>1.67</v>
      </c>
      <c r="E994" s="4">
        <v>3</v>
      </c>
      <c r="F994" s="8">
        <v>1.39</v>
      </c>
      <c r="G994" s="4">
        <v>2</v>
      </c>
      <c r="H994" s="8">
        <v>2.56</v>
      </c>
      <c r="I994" s="4">
        <v>0</v>
      </c>
    </row>
    <row r="995" spans="1:9" x14ac:dyDescent="0.2">
      <c r="A995" s="2">
        <v>17</v>
      </c>
      <c r="B995" s="1" t="s">
        <v>196</v>
      </c>
      <c r="C995" s="4">
        <v>5</v>
      </c>
      <c r="D995" s="8">
        <v>1.67</v>
      </c>
      <c r="E995" s="4">
        <v>5</v>
      </c>
      <c r="F995" s="8">
        <v>2.31</v>
      </c>
      <c r="G995" s="4">
        <v>0</v>
      </c>
      <c r="H995" s="8">
        <v>0</v>
      </c>
      <c r="I995" s="4">
        <v>0</v>
      </c>
    </row>
    <row r="996" spans="1:9" x14ac:dyDescent="0.2">
      <c r="A996" s="2">
        <v>19</v>
      </c>
      <c r="B996" s="1" t="s">
        <v>207</v>
      </c>
      <c r="C996" s="4">
        <v>4</v>
      </c>
      <c r="D996" s="8">
        <v>1.34</v>
      </c>
      <c r="E996" s="4">
        <v>1</v>
      </c>
      <c r="F996" s="8">
        <v>0.46</v>
      </c>
      <c r="G996" s="4">
        <v>3</v>
      </c>
      <c r="H996" s="8">
        <v>3.85</v>
      </c>
      <c r="I996" s="4">
        <v>0</v>
      </c>
    </row>
    <row r="997" spans="1:9" x14ac:dyDescent="0.2">
      <c r="A997" s="2">
        <v>19</v>
      </c>
      <c r="B997" s="1" t="s">
        <v>129</v>
      </c>
      <c r="C997" s="4">
        <v>4</v>
      </c>
      <c r="D997" s="8">
        <v>1.34</v>
      </c>
      <c r="E997" s="4">
        <v>4</v>
      </c>
      <c r="F997" s="8">
        <v>1.85</v>
      </c>
      <c r="G997" s="4">
        <v>0</v>
      </c>
      <c r="H997" s="8">
        <v>0</v>
      </c>
      <c r="I997" s="4">
        <v>0</v>
      </c>
    </row>
    <row r="998" spans="1:9" x14ac:dyDescent="0.2">
      <c r="A998" s="2">
        <v>19</v>
      </c>
      <c r="B998" s="1" t="s">
        <v>144</v>
      </c>
      <c r="C998" s="4">
        <v>4</v>
      </c>
      <c r="D998" s="8">
        <v>1.34</v>
      </c>
      <c r="E998" s="4">
        <v>2</v>
      </c>
      <c r="F998" s="8">
        <v>0.93</v>
      </c>
      <c r="G998" s="4">
        <v>2</v>
      </c>
      <c r="H998" s="8">
        <v>2.56</v>
      </c>
      <c r="I998" s="4">
        <v>0</v>
      </c>
    </row>
    <row r="999" spans="1:9" x14ac:dyDescent="0.2">
      <c r="A999" s="1"/>
      <c r="C999" s="4"/>
      <c r="D999" s="8"/>
      <c r="E999" s="4"/>
      <c r="F999" s="8"/>
      <c r="G999" s="4"/>
      <c r="H999" s="8"/>
      <c r="I999" s="4"/>
    </row>
    <row r="1000" spans="1:9" x14ac:dyDescent="0.2">
      <c r="A1000" s="1" t="s">
        <v>44</v>
      </c>
      <c r="C1000" s="4"/>
      <c r="D1000" s="8"/>
      <c r="E1000" s="4"/>
      <c r="F1000" s="8"/>
      <c r="G1000" s="4"/>
      <c r="H1000" s="8"/>
      <c r="I1000" s="4"/>
    </row>
    <row r="1001" spans="1:9" x14ac:dyDescent="0.2">
      <c r="A1001" s="2">
        <v>1</v>
      </c>
      <c r="B1001" s="1" t="s">
        <v>138</v>
      </c>
      <c r="C1001" s="4">
        <v>32</v>
      </c>
      <c r="D1001" s="8">
        <v>6.27</v>
      </c>
      <c r="E1001" s="4">
        <v>31</v>
      </c>
      <c r="F1001" s="8">
        <v>10.54</v>
      </c>
      <c r="G1001" s="4">
        <v>1</v>
      </c>
      <c r="H1001" s="8">
        <v>0.49</v>
      </c>
      <c r="I1001" s="4">
        <v>0</v>
      </c>
    </row>
    <row r="1002" spans="1:9" x14ac:dyDescent="0.2">
      <c r="A1002" s="2">
        <v>2</v>
      </c>
      <c r="B1002" s="1" t="s">
        <v>122</v>
      </c>
      <c r="C1002" s="4">
        <v>21</v>
      </c>
      <c r="D1002" s="8">
        <v>4.12</v>
      </c>
      <c r="E1002" s="4">
        <v>7</v>
      </c>
      <c r="F1002" s="8">
        <v>2.38</v>
      </c>
      <c r="G1002" s="4">
        <v>14</v>
      </c>
      <c r="H1002" s="8">
        <v>6.8</v>
      </c>
      <c r="I1002" s="4">
        <v>0</v>
      </c>
    </row>
    <row r="1003" spans="1:9" x14ac:dyDescent="0.2">
      <c r="A1003" s="2">
        <v>3</v>
      </c>
      <c r="B1003" s="1" t="s">
        <v>140</v>
      </c>
      <c r="C1003" s="4">
        <v>17</v>
      </c>
      <c r="D1003" s="8">
        <v>3.33</v>
      </c>
      <c r="E1003" s="4">
        <v>14</v>
      </c>
      <c r="F1003" s="8">
        <v>4.76</v>
      </c>
      <c r="G1003" s="4">
        <v>3</v>
      </c>
      <c r="H1003" s="8">
        <v>1.46</v>
      </c>
      <c r="I1003" s="4">
        <v>0</v>
      </c>
    </row>
    <row r="1004" spans="1:9" x14ac:dyDescent="0.2">
      <c r="A1004" s="2">
        <v>4</v>
      </c>
      <c r="B1004" s="1" t="s">
        <v>137</v>
      </c>
      <c r="C1004" s="4">
        <v>15</v>
      </c>
      <c r="D1004" s="8">
        <v>2.94</v>
      </c>
      <c r="E1004" s="4">
        <v>15</v>
      </c>
      <c r="F1004" s="8">
        <v>5.0999999999999996</v>
      </c>
      <c r="G1004" s="4">
        <v>0</v>
      </c>
      <c r="H1004" s="8">
        <v>0</v>
      </c>
      <c r="I1004" s="4">
        <v>0</v>
      </c>
    </row>
    <row r="1005" spans="1:9" x14ac:dyDescent="0.2">
      <c r="A1005" s="2">
        <v>5</v>
      </c>
      <c r="B1005" s="1" t="s">
        <v>127</v>
      </c>
      <c r="C1005" s="4">
        <v>13</v>
      </c>
      <c r="D1005" s="8">
        <v>2.5499999999999998</v>
      </c>
      <c r="E1005" s="4">
        <v>11</v>
      </c>
      <c r="F1005" s="8">
        <v>3.74</v>
      </c>
      <c r="G1005" s="4">
        <v>2</v>
      </c>
      <c r="H1005" s="8">
        <v>0.97</v>
      </c>
      <c r="I1005" s="4">
        <v>0</v>
      </c>
    </row>
    <row r="1006" spans="1:9" x14ac:dyDescent="0.2">
      <c r="A1006" s="2">
        <v>5</v>
      </c>
      <c r="B1006" s="1" t="s">
        <v>136</v>
      </c>
      <c r="C1006" s="4">
        <v>13</v>
      </c>
      <c r="D1006" s="8">
        <v>2.5499999999999998</v>
      </c>
      <c r="E1006" s="4">
        <v>12</v>
      </c>
      <c r="F1006" s="8">
        <v>4.08</v>
      </c>
      <c r="G1006" s="4">
        <v>1</v>
      </c>
      <c r="H1006" s="8">
        <v>0.49</v>
      </c>
      <c r="I1006" s="4">
        <v>0</v>
      </c>
    </row>
    <row r="1007" spans="1:9" x14ac:dyDescent="0.2">
      <c r="A1007" s="2">
        <v>7</v>
      </c>
      <c r="B1007" s="1" t="s">
        <v>142</v>
      </c>
      <c r="C1007" s="4">
        <v>11</v>
      </c>
      <c r="D1007" s="8">
        <v>2.16</v>
      </c>
      <c r="E1007" s="4">
        <v>10</v>
      </c>
      <c r="F1007" s="8">
        <v>3.4</v>
      </c>
      <c r="G1007" s="4">
        <v>1</v>
      </c>
      <c r="H1007" s="8">
        <v>0.49</v>
      </c>
      <c r="I1007" s="4">
        <v>0</v>
      </c>
    </row>
    <row r="1008" spans="1:9" x14ac:dyDescent="0.2">
      <c r="A1008" s="2">
        <v>7</v>
      </c>
      <c r="B1008" s="1" t="s">
        <v>139</v>
      </c>
      <c r="C1008" s="4">
        <v>11</v>
      </c>
      <c r="D1008" s="8">
        <v>2.16</v>
      </c>
      <c r="E1008" s="4">
        <v>7</v>
      </c>
      <c r="F1008" s="8">
        <v>2.38</v>
      </c>
      <c r="G1008" s="4">
        <v>4</v>
      </c>
      <c r="H1008" s="8">
        <v>1.94</v>
      </c>
      <c r="I1008" s="4">
        <v>0</v>
      </c>
    </row>
    <row r="1009" spans="1:9" x14ac:dyDescent="0.2">
      <c r="A1009" s="2">
        <v>9</v>
      </c>
      <c r="B1009" s="1" t="s">
        <v>169</v>
      </c>
      <c r="C1009" s="4">
        <v>10</v>
      </c>
      <c r="D1009" s="8">
        <v>1.96</v>
      </c>
      <c r="E1009" s="4">
        <v>3</v>
      </c>
      <c r="F1009" s="8">
        <v>1.02</v>
      </c>
      <c r="G1009" s="4">
        <v>7</v>
      </c>
      <c r="H1009" s="8">
        <v>3.4</v>
      </c>
      <c r="I1009" s="4">
        <v>0</v>
      </c>
    </row>
    <row r="1010" spans="1:9" x14ac:dyDescent="0.2">
      <c r="A1010" s="2">
        <v>9</v>
      </c>
      <c r="B1010" s="1" t="s">
        <v>129</v>
      </c>
      <c r="C1010" s="4">
        <v>10</v>
      </c>
      <c r="D1010" s="8">
        <v>1.96</v>
      </c>
      <c r="E1010" s="4">
        <v>8</v>
      </c>
      <c r="F1010" s="8">
        <v>2.72</v>
      </c>
      <c r="G1010" s="4">
        <v>2</v>
      </c>
      <c r="H1010" s="8">
        <v>0.97</v>
      </c>
      <c r="I1010" s="4">
        <v>0</v>
      </c>
    </row>
    <row r="1011" spans="1:9" x14ac:dyDescent="0.2">
      <c r="A1011" s="2">
        <v>9</v>
      </c>
      <c r="B1011" s="1" t="s">
        <v>131</v>
      </c>
      <c r="C1011" s="4">
        <v>10</v>
      </c>
      <c r="D1011" s="8">
        <v>1.96</v>
      </c>
      <c r="E1011" s="4">
        <v>3</v>
      </c>
      <c r="F1011" s="8">
        <v>1.02</v>
      </c>
      <c r="G1011" s="4">
        <v>7</v>
      </c>
      <c r="H1011" s="8">
        <v>3.4</v>
      </c>
      <c r="I1011" s="4">
        <v>0</v>
      </c>
    </row>
    <row r="1012" spans="1:9" x14ac:dyDescent="0.2">
      <c r="A1012" s="2">
        <v>12</v>
      </c>
      <c r="B1012" s="1" t="s">
        <v>128</v>
      </c>
      <c r="C1012" s="4">
        <v>9</v>
      </c>
      <c r="D1012" s="8">
        <v>1.76</v>
      </c>
      <c r="E1012" s="4">
        <v>0</v>
      </c>
      <c r="F1012" s="8">
        <v>0</v>
      </c>
      <c r="G1012" s="4">
        <v>9</v>
      </c>
      <c r="H1012" s="8">
        <v>4.37</v>
      </c>
      <c r="I1012" s="4">
        <v>0</v>
      </c>
    </row>
    <row r="1013" spans="1:9" x14ac:dyDescent="0.2">
      <c r="A1013" s="2">
        <v>12</v>
      </c>
      <c r="B1013" s="1" t="s">
        <v>177</v>
      </c>
      <c r="C1013" s="4">
        <v>9</v>
      </c>
      <c r="D1013" s="8">
        <v>1.76</v>
      </c>
      <c r="E1013" s="4">
        <v>8</v>
      </c>
      <c r="F1013" s="8">
        <v>2.72</v>
      </c>
      <c r="G1013" s="4">
        <v>1</v>
      </c>
      <c r="H1013" s="8">
        <v>0.49</v>
      </c>
      <c r="I1013" s="4">
        <v>0</v>
      </c>
    </row>
    <row r="1014" spans="1:9" x14ac:dyDescent="0.2">
      <c r="A1014" s="2">
        <v>12</v>
      </c>
      <c r="B1014" s="1" t="s">
        <v>133</v>
      </c>
      <c r="C1014" s="4">
        <v>9</v>
      </c>
      <c r="D1014" s="8">
        <v>1.76</v>
      </c>
      <c r="E1014" s="4">
        <v>9</v>
      </c>
      <c r="F1014" s="8">
        <v>3.06</v>
      </c>
      <c r="G1014" s="4">
        <v>0</v>
      </c>
      <c r="H1014" s="8">
        <v>0</v>
      </c>
      <c r="I1014" s="4">
        <v>0</v>
      </c>
    </row>
    <row r="1015" spans="1:9" x14ac:dyDescent="0.2">
      <c r="A1015" s="2">
        <v>15</v>
      </c>
      <c r="B1015" s="1" t="s">
        <v>164</v>
      </c>
      <c r="C1015" s="4">
        <v>8</v>
      </c>
      <c r="D1015" s="8">
        <v>1.57</v>
      </c>
      <c r="E1015" s="4">
        <v>3</v>
      </c>
      <c r="F1015" s="8">
        <v>1.02</v>
      </c>
      <c r="G1015" s="4">
        <v>5</v>
      </c>
      <c r="H1015" s="8">
        <v>2.4300000000000002</v>
      </c>
      <c r="I1015" s="4">
        <v>0</v>
      </c>
    </row>
    <row r="1016" spans="1:9" x14ac:dyDescent="0.2">
      <c r="A1016" s="2">
        <v>15</v>
      </c>
      <c r="B1016" s="1" t="s">
        <v>141</v>
      </c>
      <c r="C1016" s="4">
        <v>8</v>
      </c>
      <c r="D1016" s="8">
        <v>1.57</v>
      </c>
      <c r="E1016" s="4">
        <v>8</v>
      </c>
      <c r="F1016" s="8">
        <v>2.72</v>
      </c>
      <c r="G1016" s="4">
        <v>0</v>
      </c>
      <c r="H1016" s="8">
        <v>0</v>
      </c>
      <c r="I1016" s="4">
        <v>0</v>
      </c>
    </row>
    <row r="1017" spans="1:9" x14ac:dyDescent="0.2">
      <c r="A1017" s="2">
        <v>15</v>
      </c>
      <c r="B1017" s="1" t="s">
        <v>165</v>
      </c>
      <c r="C1017" s="4">
        <v>8</v>
      </c>
      <c r="D1017" s="8">
        <v>1.57</v>
      </c>
      <c r="E1017" s="4">
        <v>7</v>
      </c>
      <c r="F1017" s="8">
        <v>2.38</v>
      </c>
      <c r="G1017" s="4">
        <v>1</v>
      </c>
      <c r="H1017" s="8">
        <v>0.49</v>
      </c>
      <c r="I1017" s="4">
        <v>0</v>
      </c>
    </row>
    <row r="1018" spans="1:9" x14ac:dyDescent="0.2">
      <c r="A1018" s="2">
        <v>18</v>
      </c>
      <c r="B1018" s="1" t="s">
        <v>132</v>
      </c>
      <c r="C1018" s="4">
        <v>7</v>
      </c>
      <c r="D1018" s="8">
        <v>1.37</v>
      </c>
      <c r="E1018" s="4">
        <v>5</v>
      </c>
      <c r="F1018" s="8">
        <v>1.7</v>
      </c>
      <c r="G1018" s="4">
        <v>2</v>
      </c>
      <c r="H1018" s="8">
        <v>0.97</v>
      </c>
      <c r="I1018" s="4">
        <v>0</v>
      </c>
    </row>
    <row r="1019" spans="1:9" x14ac:dyDescent="0.2">
      <c r="A1019" s="2">
        <v>18</v>
      </c>
      <c r="B1019" s="1" t="s">
        <v>146</v>
      </c>
      <c r="C1019" s="4">
        <v>7</v>
      </c>
      <c r="D1019" s="8">
        <v>1.37</v>
      </c>
      <c r="E1019" s="4">
        <v>2</v>
      </c>
      <c r="F1019" s="8">
        <v>0.68</v>
      </c>
      <c r="G1019" s="4">
        <v>5</v>
      </c>
      <c r="H1019" s="8">
        <v>2.4300000000000002</v>
      </c>
      <c r="I1019" s="4">
        <v>0</v>
      </c>
    </row>
    <row r="1020" spans="1:9" x14ac:dyDescent="0.2">
      <c r="A1020" s="2">
        <v>20</v>
      </c>
      <c r="B1020" s="1" t="s">
        <v>123</v>
      </c>
      <c r="C1020" s="4">
        <v>6</v>
      </c>
      <c r="D1020" s="8">
        <v>1.18</v>
      </c>
      <c r="E1020" s="4">
        <v>1</v>
      </c>
      <c r="F1020" s="8">
        <v>0.34</v>
      </c>
      <c r="G1020" s="4">
        <v>5</v>
      </c>
      <c r="H1020" s="8">
        <v>2.4300000000000002</v>
      </c>
      <c r="I1020" s="4">
        <v>0</v>
      </c>
    </row>
    <row r="1021" spans="1:9" x14ac:dyDescent="0.2">
      <c r="A1021" s="2">
        <v>20</v>
      </c>
      <c r="B1021" s="1" t="s">
        <v>186</v>
      </c>
      <c r="C1021" s="4">
        <v>6</v>
      </c>
      <c r="D1021" s="8">
        <v>1.18</v>
      </c>
      <c r="E1021" s="4">
        <v>4</v>
      </c>
      <c r="F1021" s="8">
        <v>1.36</v>
      </c>
      <c r="G1021" s="4">
        <v>2</v>
      </c>
      <c r="H1021" s="8">
        <v>0.97</v>
      </c>
      <c r="I1021" s="4">
        <v>0</v>
      </c>
    </row>
    <row r="1022" spans="1:9" x14ac:dyDescent="0.2">
      <c r="A1022" s="2">
        <v>20</v>
      </c>
      <c r="B1022" s="1" t="s">
        <v>159</v>
      </c>
      <c r="C1022" s="4">
        <v>6</v>
      </c>
      <c r="D1022" s="8">
        <v>1.18</v>
      </c>
      <c r="E1022" s="4">
        <v>1</v>
      </c>
      <c r="F1022" s="8">
        <v>0.34</v>
      </c>
      <c r="G1022" s="4">
        <v>5</v>
      </c>
      <c r="H1022" s="8">
        <v>2.4300000000000002</v>
      </c>
      <c r="I1022" s="4">
        <v>0</v>
      </c>
    </row>
    <row r="1023" spans="1:9" x14ac:dyDescent="0.2">
      <c r="A1023" s="2">
        <v>20</v>
      </c>
      <c r="B1023" s="1" t="s">
        <v>184</v>
      </c>
      <c r="C1023" s="4">
        <v>6</v>
      </c>
      <c r="D1023" s="8">
        <v>1.18</v>
      </c>
      <c r="E1023" s="4">
        <v>3</v>
      </c>
      <c r="F1023" s="8">
        <v>1.02</v>
      </c>
      <c r="G1023" s="4">
        <v>3</v>
      </c>
      <c r="H1023" s="8">
        <v>1.46</v>
      </c>
      <c r="I1023" s="4">
        <v>0</v>
      </c>
    </row>
    <row r="1024" spans="1:9" x14ac:dyDescent="0.2">
      <c r="A1024" s="2">
        <v>20</v>
      </c>
      <c r="B1024" s="1" t="s">
        <v>197</v>
      </c>
      <c r="C1024" s="4">
        <v>6</v>
      </c>
      <c r="D1024" s="8">
        <v>1.18</v>
      </c>
      <c r="E1024" s="4">
        <v>5</v>
      </c>
      <c r="F1024" s="8">
        <v>1.7</v>
      </c>
      <c r="G1024" s="4">
        <v>1</v>
      </c>
      <c r="H1024" s="8">
        <v>0.49</v>
      </c>
      <c r="I1024" s="4">
        <v>0</v>
      </c>
    </row>
    <row r="1025" spans="1:9" x14ac:dyDescent="0.2">
      <c r="A1025" s="2">
        <v>20</v>
      </c>
      <c r="B1025" s="1" t="s">
        <v>172</v>
      </c>
      <c r="C1025" s="4">
        <v>6</v>
      </c>
      <c r="D1025" s="8">
        <v>1.18</v>
      </c>
      <c r="E1025" s="4">
        <v>3</v>
      </c>
      <c r="F1025" s="8">
        <v>1.02</v>
      </c>
      <c r="G1025" s="4">
        <v>3</v>
      </c>
      <c r="H1025" s="8">
        <v>1.46</v>
      </c>
      <c r="I1025" s="4">
        <v>0</v>
      </c>
    </row>
    <row r="1026" spans="1:9" x14ac:dyDescent="0.2">
      <c r="A1026" s="2">
        <v>20</v>
      </c>
      <c r="B1026" s="1" t="s">
        <v>144</v>
      </c>
      <c r="C1026" s="4">
        <v>6</v>
      </c>
      <c r="D1026" s="8">
        <v>1.18</v>
      </c>
      <c r="E1026" s="4">
        <v>3</v>
      </c>
      <c r="F1026" s="8">
        <v>1.02</v>
      </c>
      <c r="G1026" s="4">
        <v>3</v>
      </c>
      <c r="H1026" s="8">
        <v>1.46</v>
      </c>
      <c r="I1026" s="4">
        <v>0</v>
      </c>
    </row>
    <row r="1027" spans="1:9" x14ac:dyDescent="0.2">
      <c r="A1027" s="2">
        <v>20</v>
      </c>
      <c r="B1027" s="1" t="s">
        <v>208</v>
      </c>
      <c r="C1027" s="4">
        <v>6</v>
      </c>
      <c r="D1027" s="8">
        <v>1.18</v>
      </c>
      <c r="E1027" s="4">
        <v>0</v>
      </c>
      <c r="F1027" s="8">
        <v>0</v>
      </c>
      <c r="G1027" s="4">
        <v>0</v>
      </c>
      <c r="H1027" s="8">
        <v>0</v>
      </c>
      <c r="I1027" s="4">
        <v>0</v>
      </c>
    </row>
    <row r="1028" spans="1:9" x14ac:dyDescent="0.2">
      <c r="A1028" s="2">
        <v>20</v>
      </c>
      <c r="B1028" s="1" t="s">
        <v>149</v>
      </c>
      <c r="C1028" s="4">
        <v>6</v>
      </c>
      <c r="D1028" s="8">
        <v>1.18</v>
      </c>
      <c r="E1028" s="4">
        <v>1</v>
      </c>
      <c r="F1028" s="8">
        <v>0.34</v>
      </c>
      <c r="G1028" s="4">
        <v>5</v>
      </c>
      <c r="H1028" s="8">
        <v>2.4300000000000002</v>
      </c>
      <c r="I1028" s="4">
        <v>0</v>
      </c>
    </row>
    <row r="1029" spans="1:9" x14ac:dyDescent="0.2">
      <c r="A1029" s="1"/>
      <c r="C1029" s="4"/>
      <c r="D1029" s="8"/>
      <c r="E1029" s="4"/>
      <c r="F1029" s="8"/>
      <c r="G1029" s="4"/>
      <c r="H1029" s="8"/>
      <c r="I1029" s="4"/>
    </row>
    <row r="1030" spans="1:9" x14ac:dyDescent="0.2">
      <c r="A1030" s="1" t="s">
        <v>45</v>
      </c>
      <c r="C1030" s="4"/>
      <c r="D1030" s="8"/>
      <c r="E1030" s="4"/>
      <c r="F1030" s="8"/>
      <c r="G1030" s="4"/>
      <c r="H1030" s="8"/>
      <c r="I1030" s="4"/>
    </row>
    <row r="1031" spans="1:9" x14ac:dyDescent="0.2">
      <c r="A1031" s="2">
        <v>1</v>
      </c>
      <c r="B1031" s="1" t="s">
        <v>122</v>
      </c>
      <c r="C1031" s="4">
        <v>25</v>
      </c>
      <c r="D1031" s="8">
        <v>7.23</v>
      </c>
      <c r="E1031" s="4">
        <v>12</v>
      </c>
      <c r="F1031" s="8">
        <v>4.9000000000000004</v>
      </c>
      <c r="G1031" s="4">
        <v>13</v>
      </c>
      <c r="H1031" s="8">
        <v>13.83</v>
      </c>
      <c r="I1031" s="4">
        <v>0</v>
      </c>
    </row>
    <row r="1032" spans="1:9" x14ac:dyDescent="0.2">
      <c r="A1032" s="2">
        <v>2</v>
      </c>
      <c r="B1032" s="1" t="s">
        <v>136</v>
      </c>
      <c r="C1032" s="4">
        <v>17</v>
      </c>
      <c r="D1032" s="8">
        <v>4.91</v>
      </c>
      <c r="E1032" s="4">
        <v>17</v>
      </c>
      <c r="F1032" s="8">
        <v>6.94</v>
      </c>
      <c r="G1032" s="4">
        <v>0</v>
      </c>
      <c r="H1032" s="8">
        <v>0</v>
      </c>
      <c r="I1032" s="4">
        <v>0</v>
      </c>
    </row>
    <row r="1033" spans="1:9" x14ac:dyDescent="0.2">
      <c r="A1033" s="2">
        <v>3</v>
      </c>
      <c r="B1033" s="1" t="s">
        <v>165</v>
      </c>
      <c r="C1033" s="4">
        <v>15</v>
      </c>
      <c r="D1033" s="8">
        <v>4.34</v>
      </c>
      <c r="E1033" s="4">
        <v>13</v>
      </c>
      <c r="F1033" s="8">
        <v>5.31</v>
      </c>
      <c r="G1033" s="4">
        <v>2</v>
      </c>
      <c r="H1033" s="8">
        <v>2.13</v>
      </c>
      <c r="I1033" s="4">
        <v>0</v>
      </c>
    </row>
    <row r="1034" spans="1:9" x14ac:dyDescent="0.2">
      <c r="A1034" s="2">
        <v>4</v>
      </c>
      <c r="B1034" s="1" t="s">
        <v>133</v>
      </c>
      <c r="C1034" s="4">
        <v>14</v>
      </c>
      <c r="D1034" s="8">
        <v>4.05</v>
      </c>
      <c r="E1034" s="4">
        <v>13</v>
      </c>
      <c r="F1034" s="8">
        <v>5.31</v>
      </c>
      <c r="G1034" s="4">
        <v>1</v>
      </c>
      <c r="H1034" s="8">
        <v>1.06</v>
      </c>
      <c r="I1034" s="4">
        <v>0</v>
      </c>
    </row>
    <row r="1035" spans="1:9" x14ac:dyDescent="0.2">
      <c r="A1035" s="2">
        <v>5</v>
      </c>
      <c r="B1035" s="1" t="s">
        <v>138</v>
      </c>
      <c r="C1035" s="4">
        <v>13</v>
      </c>
      <c r="D1035" s="8">
        <v>3.76</v>
      </c>
      <c r="E1035" s="4">
        <v>13</v>
      </c>
      <c r="F1035" s="8">
        <v>5.31</v>
      </c>
      <c r="G1035" s="4">
        <v>0</v>
      </c>
      <c r="H1035" s="8">
        <v>0</v>
      </c>
      <c r="I1035" s="4">
        <v>0</v>
      </c>
    </row>
    <row r="1036" spans="1:9" x14ac:dyDescent="0.2">
      <c r="A1036" s="2">
        <v>6</v>
      </c>
      <c r="B1036" s="1" t="s">
        <v>137</v>
      </c>
      <c r="C1036" s="4">
        <v>11</v>
      </c>
      <c r="D1036" s="8">
        <v>3.18</v>
      </c>
      <c r="E1036" s="4">
        <v>11</v>
      </c>
      <c r="F1036" s="8">
        <v>4.49</v>
      </c>
      <c r="G1036" s="4">
        <v>0</v>
      </c>
      <c r="H1036" s="8">
        <v>0</v>
      </c>
      <c r="I1036" s="4">
        <v>0</v>
      </c>
    </row>
    <row r="1037" spans="1:9" x14ac:dyDescent="0.2">
      <c r="A1037" s="2">
        <v>6</v>
      </c>
      <c r="B1037" s="1" t="s">
        <v>140</v>
      </c>
      <c r="C1037" s="4">
        <v>11</v>
      </c>
      <c r="D1037" s="8">
        <v>3.18</v>
      </c>
      <c r="E1037" s="4">
        <v>11</v>
      </c>
      <c r="F1037" s="8">
        <v>4.49</v>
      </c>
      <c r="G1037" s="4">
        <v>0</v>
      </c>
      <c r="H1037" s="8">
        <v>0</v>
      </c>
      <c r="I1037" s="4">
        <v>0</v>
      </c>
    </row>
    <row r="1038" spans="1:9" x14ac:dyDescent="0.2">
      <c r="A1038" s="2">
        <v>8</v>
      </c>
      <c r="B1038" s="1" t="s">
        <v>190</v>
      </c>
      <c r="C1038" s="4">
        <v>9</v>
      </c>
      <c r="D1038" s="8">
        <v>2.6</v>
      </c>
      <c r="E1038" s="4">
        <v>8</v>
      </c>
      <c r="F1038" s="8">
        <v>3.27</v>
      </c>
      <c r="G1038" s="4">
        <v>1</v>
      </c>
      <c r="H1038" s="8">
        <v>1.06</v>
      </c>
      <c r="I1038" s="4">
        <v>0</v>
      </c>
    </row>
    <row r="1039" spans="1:9" x14ac:dyDescent="0.2">
      <c r="A1039" s="2">
        <v>8</v>
      </c>
      <c r="B1039" s="1" t="s">
        <v>159</v>
      </c>
      <c r="C1039" s="4">
        <v>9</v>
      </c>
      <c r="D1039" s="8">
        <v>2.6</v>
      </c>
      <c r="E1039" s="4">
        <v>5</v>
      </c>
      <c r="F1039" s="8">
        <v>2.04</v>
      </c>
      <c r="G1039" s="4">
        <v>4</v>
      </c>
      <c r="H1039" s="8">
        <v>4.26</v>
      </c>
      <c r="I1039" s="4">
        <v>0</v>
      </c>
    </row>
    <row r="1040" spans="1:9" x14ac:dyDescent="0.2">
      <c r="A1040" s="2">
        <v>8</v>
      </c>
      <c r="B1040" s="1" t="s">
        <v>125</v>
      </c>
      <c r="C1040" s="4">
        <v>9</v>
      </c>
      <c r="D1040" s="8">
        <v>2.6</v>
      </c>
      <c r="E1040" s="4">
        <v>8</v>
      </c>
      <c r="F1040" s="8">
        <v>3.27</v>
      </c>
      <c r="G1040" s="4">
        <v>1</v>
      </c>
      <c r="H1040" s="8">
        <v>1.06</v>
      </c>
      <c r="I1040" s="4">
        <v>0</v>
      </c>
    </row>
    <row r="1041" spans="1:9" x14ac:dyDescent="0.2">
      <c r="A1041" s="2">
        <v>8</v>
      </c>
      <c r="B1041" s="1" t="s">
        <v>129</v>
      </c>
      <c r="C1041" s="4">
        <v>9</v>
      </c>
      <c r="D1041" s="8">
        <v>2.6</v>
      </c>
      <c r="E1041" s="4">
        <v>8</v>
      </c>
      <c r="F1041" s="8">
        <v>3.27</v>
      </c>
      <c r="G1041" s="4">
        <v>1</v>
      </c>
      <c r="H1041" s="8">
        <v>1.06</v>
      </c>
      <c r="I1041" s="4">
        <v>0</v>
      </c>
    </row>
    <row r="1042" spans="1:9" x14ac:dyDescent="0.2">
      <c r="A1042" s="2">
        <v>12</v>
      </c>
      <c r="B1042" s="1" t="s">
        <v>123</v>
      </c>
      <c r="C1042" s="4">
        <v>8</v>
      </c>
      <c r="D1042" s="8">
        <v>2.31</v>
      </c>
      <c r="E1042" s="4">
        <v>4</v>
      </c>
      <c r="F1042" s="8">
        <v>1.63</v>
      </c>
      <c r="G1042" s="4">
        <v>4</v>
      </c>
      <c r="H1042" s="8">
        <v>4.26</v>
      </c>
      <c r="I1042" s="4">
        <v>0</v>
      </c>
    </row>
    <row r="1043" spans="1:9" x14ac:dyDescent="0.2">
      <c r="A1043" s="2">
        <v>12</v>
      </c>
      <c r="B1043" s="1" t="s">
        <v>151</v>
      </c>
      <c r="C1043" s="4">
        <v>8</v>
      </c>
      <c r="D1043" s="8">
        <v>2.31</v>
      </c>
      <c r="E1043" s="4">
        <v>6</v>
      </c>
      <c r="F1043" s="8">
        <v>2.4500000000000002</v>
      </c>
      <c r="G1043" s="4">
        <v>2</v>
      </c>
      <c r="H1043" s="8">
        <v>2.13</v>
      </c>
      <c r="I1043" s="4">
        <v>0</v>
      </c>
    </row>
    <row r="1044" spans="1:9" x14ac:dyDescent="0.2">
      <c r="A1044" s="2">
        <v>12</v>
      </c>
      <c r="B1044" s="1" t="s">
        <v>127</v>
      </c>
      <c r="C1044" s="4">
        <v>8</v>
      </c>
      <c r="D1044" s="8">
        <v>2.31</v>
      </c>
      <c r="E1044" s="4">
        <v>6</v>
      </c>
      <c r="F1044" s="8">
        <v>2.4500000000000002</v>
      </c>
      <c r="G1044" s="4">
        <v>2</v>
      </c>
      <c r="H1044" s="8">
        <v>2.13</v>
      </c>
      <c r="I1044" s="4">
        <v>0</v>
      </c>
    </row>
    <row r="1045" spans="1:9" x14ac:dyDescent="0.2">
      <c r="A1045" s="2">
        <v>15</v>
      </c>
      <c r="B1045" s="1" t="s">
        <v>144</v>
      </c>
      <c r="C1045" s="4">
        <v>6</v>
      </c>
      <c r="D1045" s="8">
        <v>1.73</v>
      </c>
      <c r="E1045" s="4">
        <v>3</v>
      </c>
      <c r="F1045" s="8">
        <v>1.22</v>
      </c>
      <c r="G1045" s="4">
        <v>3</v>
      </c>
      <c r="H1045" s="8">
        <v>3.19</v>
      </c>
      <c r="I1045" s="4">
        <v>0</v>
      </c>
    </row>
    <row r="1046" spans="1:9" x14ac:dyDescent="0.2">
      <c r="A1046" s="2">
        <v>15</v>
      </c>
      <c r="B1046" s="1" t="s">
        <v>209</v>
      </c>
      <c r="C1046" s="4">
        <v>6</v>
      </c>
      <c r="D1046" s="8">
        <v>1.73</v>
      </c>
      <c r="E1046" s="4">
        <v>5</v>
      </c>
      <c r="F1046" s="8">
        <v>2.04</v>
      </c>
      <c r="G1046" s="4">
        <v>0</v>
      </c>
      <c r="H1046" s="8">
        <v>0</v>
      </c>
      <c r="I1046" s="4">
        <v>1</v>
      </c>
    </row>
    <row r="1047" spans="1:9" x14ac:dyDescent="0.2">
      <c r="A1047" s="2">
        <v>17</v>
      </c>
      <c r="B1047" s="1" t="s">
        <v>169</v>
      </c>
      <c r="C1047" s="4">
        <v>5</v>
      </c>
      <c r="D1047" s="8">
        <v>1.45</v>
      </c>
      <c r="E1047" s="4">
        <v>2</v>
      </c>
      <c r="F1047" s="8">
        <v>0.82</v>
      </c>
      <c r="G1047" s="4">
        <v>3</v>
      </c>
      <c r="H1047" s="8">
        <v>3.19</v>
      </c>
      <c r="I1047" s="4">
        <v>0</v>
      </c>
    </row>
    <row r="1048" spans="1:9" x14ac:dyDescent="0.2">
      <c r="A1048" s="2">
        <v>17</v>
      </c>
      <c r="B1048" s="1" t="s">
        <v>185</v>
      </c>
      <c r="C1048" s="4">
        <v>5</v>
      </c>
      <c r="D1048" s="8">
        <v>1.45</v>
      </c>
      <c r="E1048" s="4">
        <v>5</v>
      </c>
      <c r="F1048" s="8">
        <v>2.04</v>
      </c>
      <c r="G1048" s="4">
        <v>0</v>
      </c>
      <c r="H1048" s="8">
        <v>0</v>
      </c>
      <c r="I1048" s="4">
        <v>0</v>
      </c>
    </row>
    <row r="1049" spans="1:9" x14ac:dyDescent="0.2">
      <c r="A1049" s="2">
        <v>17</v>
      </c>
      <c r="B1049" s="1" t="s">
        <v>186</v>
      </c>
      <c r="C1049" s="4">
        <v>5</v>
      </c>
      <c r="D1049" s="8">
        <v>1.45</v>
      </c>
      <c r="E1049" s="4">
        <v>3</v>
      </c>
      <c r="F1049" s="8">
        <v>1.22</v>
      </c>
      <c r="G1049" s="4">
        <v>2</v>
      </c>
      <c r="H1049" s="8">
        <v>2.13</v>
      </c>
      <c r="I1049" s="4">
        <v>0</v>
      </c>
    </row>
    <row r="1050" spans="1:9" x14ac:dyDescent="0.2">
      <c r="A1050" s="2">
        <v>17</v>
      </c>
      <c r="B1050" s="1" t="s">
        <v>207</v>
      </c>
      <c r="C1050" s="4">
        <v>5</v>
      </c>
      <c r="D1050" s="8">
        <v>1.45</v>
      </c>
      <c r="E1050" s="4">
        <v>3</v>
      </c>
      <c r="F1050" s="8">
        <v>1.22</v>
      </c>
      <c r="G1050" s="4">
        <v>2</v>
      </c>
      <c r="H1050" s="8">
        <v>2.13</v>
      </c>
      <c r="I1050" s="4">
        <v>0</v>
      </c>
    </row>
    <row r="1051" spans="1:9" x14ac:dyDescent="0.2">
      <c r="A1051" s="2">
        <v>17</v>
      </c>
      <c r="B1051" s="1" t="s">
        <v>176</v>
      </c>
      <c r="C1051" s="4">
        <v>5</v>
      </c>
      <c r="D1051" s="8">
        <v>1.45</v>
      </c>
      <c r="E1051" s="4">
        <v>2</v>
      </c>
      <c r="F1051" s="8">
        <v>0.82</v>
      </c>
      <c r="G1051" s="4">
        <v>3</v>
      </c>
      <c r="H1051" s="8">
        <v>3.19</v>
      </c>
      <c r="I1051" s="4">
        <v>0</v>
      </c>
    </row>
    <row r="1052" spans="1:9" x14ac:dyDescent="0.2">
      <c r="A1052" s="2">
        <v>17</v>
      </c>
      <c r="B1052" s="1" t="s">
        <v>146</v>
      </c>
      <c r="C1052" s="4">
        <v>5</v>
      </c>
      <c r="D1052" s="8">
        <v>1.45</v>
      </c>
      <c r="E1052" s="4">
        <v>3</v>
      </c>
      <c r="F1052" s="8">
        <v>1.22</v>
      </c>
      <c r="G1052" s="4">
        <v>2</v>
      </c>
      <c r="H1052" s="8">
        <v>2.13</v>
      </c>
      <c r="I1052" s="4">
        <v>0</v>
      </c>
    </row>
    <row r="1053" spans="1:9" x14ac:dyDescent="0.2">
      <c r="A1053" s="1"/>
      <c r="C1053" s="4"/>
      <c r="D1053" s="8"/>
      <c r="E1053" s="4"/>
      <c r="F1053" s="8"/>
      <c r="G1053" s="4"/>
      <c r="H1053" s="8"/>
      <c r="I1053" s="4"/>
    </row>
    <row r="1054" spans="1:9" x14ac:dyDescent="0.2">
      <c r="A1054" s="1" t="s">
        <v>46</v>
      </c>
      <c r="C1054" s="4"/>
      <c r="D1054" s="8"/>
      <c r="E1054" s="4"/>
      <c r="F1054" s="8"/>
      <c r="G1054" s="4"/>
      <c r="H1054" s="8"/>
      <c r="I1054" s="4"/>
    </row>
    <row r="1055" spans="1:9" x14ac:dyDescent="0.2">
      <c r="A1055" s="2">
        <v>1</v>
      </c>
      <c r="B1055" s="1" t="s">
        <v>138</v>
      </c>
      <c r="C1055" s="4">
        <v>50</v>
      </c>
      <c r="D1055" s="8">
        <v>6.75</v>
      </c>
      <c r="E1055" s="4">
        <v>47</v>
      </c>
      <c r="F1055" s="8">
        <v>10.4</v>
      </c>
      <c r="G1055" s="4">
        <v>3</v>
      </c>
      <c r="H1055" s="8">
        <v>1.08</v>
      </c>
      <c r="I1055" s="4">
        <v>0</v>
      </c>
    </row>
    <row r="1056" spans="1:9" x14ac:dyDescent="0.2">
      <c r="A1056" s="2">
        <v>2</v>
      </c>
      <c r="B1056" s="1" t="s">
        <v>140</v>
      </c>
      <c r="C1056" s="4">
        <v>40</v>
      </c>
      <c r="D1056" s="8">
        <v>5.4</v>
      </c>
      <c r="E1056" s="4">
        <v>38</v>
      </c>
      <c r="F1056" s="8">
        <v>8.41</v>
      </c>
      <c r="G1056" s="4">
        <v>2</v>
      </c>
      <c r="H1056" s="8">
        <v>0.72</v>
      </c>
      <c r="I1056" s="4">
        <v>0</v>
      </c>
    </row>
    <row r="1057" spans="1:9" x14ac:dyDescent="0.2">
      <c r="A1057" s="2">
        <v>3</v>
      </c>
      <c r="B1057" s="1" t="s">
        <v>132</v>
      </c>
      <c r="C1057" s="4">
        <v>38</v>
      </c>
      <c r="D1057" s="8">
        <v>5.13</v>
      </c>
      <c r="E1057" s="4">
        <v>25</v>
      </c>
      <c r="F1057" s="8">
        <v>5.53</v>
      </c>
      <c r="G1057" s="4">
        <v>13</v>
      </c>
      <c r="H1057" s="8">
        <v>4.66</v>
      </c>
      <c r="I1057" s="4">
        <v>0</v>
      </c>
    </row>
    <row r="1058" spans="1:9" x14ac:dyDescent="0.2">
      <c r="A1058" s="2">
        <v>4</v>
      </c>
      <c r="B1058" s="1" t="s">
        <v>136</v>
      </c>
      <c r="C1058" s="4">
        <v>26</v>
      </c>
      <c r="D1058" s="8">
        <v>3.51</v>
      </c>
      <c r="E1058" s="4">
        <v>25</v>
      </c>
      <c r="F1058" s="8">
        <v>5.53</v>
      </c>
      <c r="G1058" s="4">
        <v>1</v>
      </c>
      <c r="H1058" s="8">
        <v>0.36</v>
      </c>
      <c r="I1058" s="4">
        <v>0</v>
      </c>
    </row>
    <row r="1059" spans="1:9" x14ac:dyDescent="0.2">
      <c r="A1059" s="2">
        <v>5</v>
      </c>
      <c r="B1059" s="1" t="s">
        <v>122</v>
      </c>
      <c r="C1059" s="4">
        <v>25</v>
      </c>
      <c r="D1059" s="8">
        <v>3.37</v>
      </c>
      <c r="E1059" s="4">
        <v>7</v>
      </c>
      <c r="F1059" s="8">
        <v>1.55</v>
      </c>
      <c r="G1059" s="4">
        <v>18</v>
      </c>
      <c r="H1059" s="8">
        <v>6.45</v>
      </c>
      <c r="I1059" s="4">
        <v>0</v>
      </c>
    </row>
    <row r="1060" spans="1:9" x14ac:dyDescent="0.2">
      <c r="A1060" s="2">
        <v>6</v>
      </c>
      <c r="B1060" s="1" t="s">
        <v>159</v>
      </c>
      <c r="C1060" s="4">
        <v>21</v>
      </c>
      <c r="D1060" s="8">
        <v>2.83</v>
      </c>
      <c r="E1060" s="4">
        <v>11</v>
      </c>
      <c r="F1060" s="8">
        <v>2.4300000000000002</v>
      </c>
      <c r="G1060" s="4">
        <v>10</v>
      </c>
      <c r="H1060" s="8">
        <v>3.58</v>
      </c>
      <c r="I1060" s="4">
        <v>0</v>
      </c>
    </row>
    <row r="1061" spans="1:9" x14ac:dyDescent="0.2">
      <c r="A1061" s="2">
        <v>7</v>
      </c>
      <c r="B1061" s="1" t="s">
        <v>127</v>
      </c>
      <c r="C1061" s="4">
        <v>19</v>
      </c>
      <c r="D1061" s="8">
        <v>2.56</v>
      </c>
      <c r="E1061" s="4">
        <v>15</v>
      </c>
      <c r="F1061" s="8">
        <v>3.32</v>
      </c>
      <c r="G1061" s="4">
        <v>4</v>
      </c>
      <c r="H1061" s="8">
        <v>1.43</v>
      </c>
      <c r="I1061" s="4">
        <v>0</v>
      </c>
    </row>
    <row r="1062" spans="1:9" x14ac:dyDescent="0.2">
      <c r="A1062" s="2">
        <v>8</v>
      </c>
      <c r="B1062" s="1" t="s">
        <v>124</v>
      </c>
      <c r="C1062" s="4">
        <v>18</v>
      </c>
      <c r="D1062" s="8">
        <v>2.4300000000000002</v>
      </c>
      <c r="E1062" s="4">
        <v>7</v>
      </c>
      <c r="F1062" s="8">
        <v>1.55</v>
      </c>
      <c r="G1062" s="4">
        <v>11</v>
      </c>
      <c r="H1062" s="8">
        <v>3.94</v>
      </c>
      <c r="I1062" s="4">
        <v>0</v>
      </c>
    </row>
    <row r="1063" spans="1:9" x14ac:dyDescent="0.2">
      <c r="A1063" s="2">
        <v>8</v>
      </c>
      <c r="B1063" s="1" t="s">
        <v>137</v>
      </c>
      <c r="C1063" s="4">
        <v>18</v>
      </c>
      <c r="D1063" s="8">
        <v>2.4300000000000002</v>
      </c>
      <c r="E1063" s="4">
        <v>17</v>
      </c>
      <c r="F1063" s="8">
        <v>3.76</v>
      </c>
      <c r="G1063" s="4">
        <v>1</v>
      </c>
      <c r="H1063" s="8">
        <v>0.36</v>
      </c>
      <c r="I1063" s="4">
        <v>0</v>
      </c>
    </row>
    <row r="1064" spans="1:9" x14ac:dyDescent="0.2">
      <c r="A1064" s="2">
        <v>8</v>
      </c>
      <c r="B1064" s="1" t="s">
        <v>141</v>
      </c>
      <c r="C1064" s="4">
        <v>18</v>
      </c>
      <c r="D1064" s="8">
        <v>2.4300000000000002</v>
      </c>
      <c r="E1064" s="4">
        <v>15</v>
      </c>
      <c r="F1064" s="8">
        <v>3.32</v>
      </c>
      <c r="G1064" s="4">
        <v>3</v>
      </c>
      <c r="H1064" s="8">
        <v>1.08</v>
      </c>
      <c r="I1064" s="4">
        <v>0</v>
      </c>
    </row>
    <row r="1065" spans="1:9" x14ac:dyDescent="0.2">
      <c r="A1065" s="2">
        <v>11</v>
      </c>
      <c r="B1065" s="1" t="s">
        <v>139</v>
      </c>
      <c r="C1065" s="4">
        <v>15</v>
      </c>
      <c r="D1065" s="8">
        <v>2.02</v>
      </c>
      <c r="E1065" s="4">
        <v>12</v>
      </c>
      <c r="F1065" s="8">
        <v>2.65</v>
      </c>
      <c r="G1065" s="4">
        <v>3</v>
      </c>
      <c r="H1065" s="8">
        <v>1.08</v>
      </c>
      <c r="I1065" s="4">
        <v>0</v>
      </c>
    </row>
    <row r="1066" spans="1:9" x14ac:dyDescent="0.2">
      <c r="A1066" s="2">
        <v>12</v>
      </c>
      <c r="B1066" s="1" t="s">
        <v>129</v>
      </c>
      <c r="C1066" s="4">
        <v>13</v>
      </c>
      <c r="D1066" s="8">
        <v>1.75</v>
      </c>
      <c r="E1066" s="4">
        <v>10</v>
      </c>
      <c r="F1066" s="8">
        <v>2.21</v>
      </c>
      <c r="G1066" s="4">
        <v>3</v>
      </c>
      <c r="H1066" s="8">
        <v>1.08</v>
      </c>
      <c r="I1066" s="4">
        <v>0</v>
      </c>
    </row>
    <row r="1067" spans="1:9" x14ac:dyDescent="0.2">
      <c r="A1067" s="2">
        <v>13</v>
      </c>
      <c r="B1067" s="1" t="s">
        <v>123</v>
      </c>
      <c r="C1067" s="4">
        <v>12</v>
      </c>
      <c r="D1067" s="8">
        <v>1.62</v>
      </c>
      <c r="E1067" s="4">
        <v>3</v>
      </c>
      <c r="F1067" s="8">
        <v>0.66</v>
      </c>
      <c r="G1067" s="4">
        <v>9</v>
      </c>
      <c r="H1067" s="8">
        <v>3.23</v>
      </c>
      <c r="I1067" s="4">
        <v>0</v>
      </c>
    </row>
    <row r="1068" spans="1:9" x14ac:dyDescent="0.2">
      <c r="A1068" s="2">
        <v>13</v>
      </c>
      <c r="B1068" s="1" t="s">
        <v>169</v>
      </c>
      <c r="C1068" s="4">
        <v>12</v>
      </c>
      <c r="D1068" s="8">
        <v>1.62</v>
      </c>
      <c r="E1068" s="4">
        <v>4</v>
      </c>
      <c r="F1068" s="8">
        <v>0.88</v>
      </c>
      <c r="G1068" s="4">
        <v>8</v>
      </c>
      <c r="H1068" s="8">
        <v>2.87</v>
      </c>
      <c r="I1068" s="4">
        <v>0</v>
      </c>
    </row>
    <row r="1069" spans="1:9" x14ac:dyDescent="0.2">
      <c r="A1069" s="2">
        <v>13</v>
      </c>
      <c r="B1069" s="1" t="s">
        <v>133</v>
      </c>
      <c r="C1069" s="4">
        <v>12</v>
      </c>
      <c r="D1069" s="8">
        <v>1.62</v>
      </c>
      <c r="E1069" s="4">
        <v>9</v>
      </c>
      <c r="F1069" s="8">
        <v>1.99</v>
      </c>
      <c r="G1069" s="4">
        <v>3</v>
      </c>
      <c r="H1069" s="8">
        <v>1.08</v>
      </c>
      <c r="I1069" s="4">
        <v>0</v>
      </c>
    </row>
    <row r="1070" spans="1:9" x14ac:dyDescent="0.2">
      <c r="A1070" s="2">
        <v>16</v>
      </c>
      <c r="B1070" s="1" t="s">
        <v>186</v>
      </c>
      <c r="C1070" s="4">
        <v>11</v>
      </c>
      <c r="D1070" s="8">
        <v>1.48</v>
      </c>
      <c r="E1070" s="4">
        <v>5</v>
      </c>
      <c r="F1070" s="8">
        <v>1.1100000000000001</v>
      </c>
      <c r="G1070" s="4">
        <v>6</v>
      </c>
      <c r="H1070" s="8">
        <v>2.15</v>
      </c>
      <c r="I1070" s="4">
        <v>0</v>
      </c>
    </row>
    <row r="1071" spans="1:9" x14ac:dyDescent="0.2">
      <c r="A1071" s="2">
        <v>17</v>
      </c>
      <c r="B1071" s="1" t="s">
        <v>131</v>
      </c>
      <c r="C1071" s="4">
        <v>10</v>
      </c>
      <c r="D1071" s="8">
        <v>1.35</v>
      </c>
      <c r="E1071" s="4">
        <v>4</v>
      </c>
      <c r="F1071" s="8">
        <v>0.88</v>
      </c>
      <c r="G1071" s="4">
        <v>6</v>
      </c>
      <c r="H1071" s="8">
        <v>2.15</v>
      </c>
      <c r="I1071" s="4">
        <v>0</v>
      </c>
    </row>
    <row r="1072" spans="1:9" x14ac:dyDescent="0.2">
      <c r="A1072" s="2">
        <v>17</v>
      </c>
      <c r="B1072" s="1" t="s">
        <v>165</v>
      </c>
      <c r="C1072" s="4">
        <v>10</v>
      </c>
      <c r="D1072" s="8">
        <v>1.35</v>
      </c>
      <c r="E1072" s="4">
        <v>7</v>
      </c>
      <c r="F1072" s="8">
        <v>1.55</v>
      </c>
      <c r="G1072" s="4">
        <v>3</v>
      </c>
      <c r="H1072" s="8">
        <v>1.08</v>
      </c>
      <c r="I1072" s="4">
        <v>0</v>
      </c>
    </row>
    <row r="1073" spans="1:9" x14ac:dyDescent="0.2">
      <c r="A1073" s="2">
        <v>19</v>
      </c>
      <c r="B1073" s="1" t="s">
        <v>130</v>
      </c>
      <c r="C1073" s="4">
        <v>9</v>
      </c>
      <c r="D1073" s="8">
        <v>1.21</v>
      </c>
      <c r="E1073" s="4">
        <v>1</v>
      </c>
      <c r="F1073" s="8">
        <v>0.22</v>
      </c>
      <c r="G1073" s="4">
        <v>8</v>
      </c>
      <c r="H1073" s="8">
        <v>2.87</v>
      </c>
      <c r="I1073" s="4">
        <v>0</v>
      </c>
    </row>
    <row r="1074" spans="1:9" x14ac:dyDescent="0.2">
      <c r="A1074" s="2">
        <v>19</v>
      </c>
      <c r="B1074" s="1" t="s">
        <v>134</v>
      </c>
      <c r="C1074" s="4">
        <v>9</v>
      </c>
      <c r="D1074" s="8">
        <v>1.21</v>
      </c>
      <c r="E1074" s="4">
        <v>8</v>
      </c>
      <c r="F1074" s="8">
        <v>1.77</v>
      </c>
      <c r="G1074" s="4">
        <v>1</v>
      </c>
      <c r="H1074" s="8">
        <v>0.36</v>
      </c>
      <c r="I1074" s="4">
        <v>0</v>
      </c>
    </row>
    <row r="1075" spans="1:9" x14ac:dyDescent="0.2">
      <c r="A1075" s="2">
        <v>19</v>
      </c>
      <c r="B1075" s="1" t="s">
        <v>135</v>
      </c>
      <c r="C1075" s="4">
        <v>9</v>
      </c>
      <c r="D1075" s="8">
        <v>1.21</v>
      </c>
      <c r="E1075" s="4">
        <v>9</v>
      </c>
      <c r="F1075" s="8">
        <v>1.99</v>
      </c>
      <c r="G1075" s="4">
        <v>0</v>
      </c>
      <c r="H1075" s="8">
        <v>0</v>
      </c>
      <c r="I1075" s="4">
        <v>0</v>
      </c>
    </row>
    <row r="1076" spans="1:9" x14ac:dyDescent="0.2">
      <c r="A1076" s="1"/>
      <c r="C1076" s="4"/>
      <c r="D1076" s="8"/>
      <c r="E1076" s="4"/>
      <c r="F1076" s="8"/>
      <c r="G1076" s="4"/>
      <c r="H1076" s="8"/>
      <c r="I1076" s="4"/>
    </row>
    <row r="1077" spans="1:9" x14ac:dyDescent="0.2">
      <c r="A1077" s="1" t="s">
        <v>47</v>
      </c>
      <c r="C1077" s="4"/>
      <c r="D1077" s="8"/>
      <c r="E1077" s="4"/>
      <c r="F1077" s="8"/>
      <c r="G1077" s="4"/>
      <c r="H1077" s="8"/>
      <c r="I1077" s="4"/>
    </row>
    <row r="1078" spans="1:9" x14ac:dyDescent="0.2">
      <c r="A1078" s="2">
        <v>1</v>
      </c>
      <c r="B1078" s="1" t="s">
        <v>138</v>
      </c>
      <c r="C1078" s="4">
        <v>16</v>
      </c>
      <c r="D1078" s="8">
        <v>4.3</v>
      </c>
      <c r="E1078" s="4">
        <v>15</v>
      </c>
      <c r="F1078" s="8">
        <v>6.15</v>
      </c>
      <c r="G1078" s="4">
        <v>1</v>
      </c>
      <c r="H1078" s="8">
        <v>0.9</v>
      </c>
      <c r="I1078" s="4">
        <v>0</v>
      </c>
    </row>
    <row r="1079" spans="1:9" x14ac:dyDescent="0.2">
      <c r="A1079" s="2">
        <v>2</v>
      </c>
      <c r="B1079" s="1" t="s">
        <v>122</v>
      </c>
      <c r="C1079" s="4">
        <v>13</v>
      </c>
      <c r="D1079" s="8">
        <v>3.49</v>
      </c>
      <c r="E1079" s="4">
        <v>3</v>
      </c>
      <c r="F1079" s="8">
        <v>1.23</v>
      </c>
      <c r="G1079" s="4">
        <v>10</v>
      </c>
      <c r="H1079" s="8">
        <v>9.01</v>
      </c>
      <c r="I1079" s="4">
        <v>0</v>
      </c>
    </row>
    <row r="1080" spans="1:9" x14ac:dyDescent="0.2">
      <c r="A1080" s="2">
        <v>2</v>
      </c>
      <c r="B1080" s="1" t="s">
        <v>142</v>
      </c>
      <c r="C1080" s="4">
        <v>13</v>
      </c>
      <c r="D1080" s="8">
        <v>3.49</v>
      </c>
      <c r="E1080" s="4">
        <v>13</v>
      </c>
      <c r="F1080" s="8">
        <v>5.33</v>
      </c>
      <c r="G1080" s="4">
        <v>0</v>
      </c>
      <c r="H1080" s="8">
        <v>0</v>
      </c>
      <c r="I1080" s="4">
        <v>0</v>
      </c>
    </row>
    <row r="1081" spans="1:9" x14ac:dyDescent="0.2">
      <c r="A1081" s="2">
        <v>2</v>
      </c>
      <c r="B1081" s="1" t="s">
        <v>136</v>
      </c>
      <c r="C1081" s="4">
        <v>13</v>
      </c>
      <c r="D1081" s="8">
        <v>3.49</v>
      </c>
      <c r="E1081" s="4">
        <v>13</v>
      </c>
      <c r="F1081" s="8">
        <v>5.33</v>
      </c>
      <c r="G1081" s="4">
        <v>0</v>
      </c>
      <c r="H1081" s="8">
        <v>0</v>
      </c>
      <c r="I1081" s="4">
        <v>0</v>
      </c>
    </row>
    <row r="1082" spans="1:9" x14ac:dyDescent="0.2">
      <c r="A1082" s="2">
        <v>5</v>
      </c>
      <c r="B1082" s="1" t="s">
        <v>129</v>
      </c>
      <c r="C1082" s="4">
        <v>12</v>
      </c>
      <c r="D1082" s="8">
        <v>3.23</v>
      </c>
      <c r="E1082" s="4">
        <v>11</v>
      </c>
      <c r="F1082" s="8">
        <v>4.51</v>
      </c>
      <c r="G1082" s="4">
        <v>1</v>
      </c>
      <c r="H1082" s="8">
        <v>0.9</v>
      </c>
      <c r="I1082" s="4">
        <v>0</v>
      </c>
    </row>
    <row r="1083" spans="1:9" x14ac:dyDescent="0.2">
      <c r="A1083" s="2">
        <v>5</v>
      </c>
      <c r="B1083" s="1" t="s">
        <v>132</v>
      </c>
      <c r="C1083" s="4">
        <v>12</v>
      </c>
      <c r="D1083" s="8">
        <v>3.23</v>
      </c>
      <c r="E1083" s="4">
        <v>11</v>
      </c>
      <c r="F1083" s="8">
        <v>4.51</v>
      </c>
      <c r="G1083" s="4">
        <v>1</v>
      </c>
      <c r="H1083" s="8">
        <v>0.9</v>
      </c>
      <c r="I1083" s="4">
        <v>0</v>
      </c>
    </row>
    <row r="1084" spans="1:9" x14ac:dyDescent="0.2">
      <c r="A1084" s="2">
        <v>5</v>
      </c>
      <c r="B1084" s="1" t="s">
        <v>137</v>
      </c>
      <c r="C1084" s="4">
        <v>12</v>
      </c>
      <c r="D1084" s="8">
        <v>3.23</v>
      </c>
      <c r="E1084" s="4">
        <v>12</v>
      </c>
      <c r="F1084" s="8">
        <v>4.92</v>
      </c>
      <c r="G1084" s="4">
        <v>0</v>
      </c>
      <c r="H1084" s="8">
        <v>0</v>
      </c>
      <c r="I1084" s="4">
        <v>0</v>
      </c>
    </row>
    <row r="1085" spans="1:9" x14ac:dyDescent="0.2">
      <c r="A1085" s="2">
        <v>8</v>
      </c>
      <c r="B1085" s="1" t="s">
        <v>208</v>
      </c>
      <c r="C1085" s="4">
        <v>11</v>
      </c>
      <c r="D1085" s="8">
        <v>2.96</v>
      </c>
      <c r="E1085" s="4">
        <v>0</v>
      </c>
      <c r="F1085" s="8">
        <v>0</v>
      </c>
      <c r="G1085" s="4">
        <v>0</v>
      </c>
      <c r="H1085" s="8">
        <v>0</v>
      </c>
      <c r="I1085" s="4">
        <v>0</v>
      </c>
    </row>
    <row r="1086" spans="1:9" x14ac:dyDescent="0.2">
      <c r="A1086" s="2">
        <v>9</v>
      </c>
      <c r="B1086" s="1" t="s">
        <v>124</v>
      </c>
      <c r="C1086" s="4">
        <v>10</v>
      </c>
      <c r="D1086" s="8">
        <v>2.69</v>
      </c>
      <c r="E1086" s="4">
        <v>6</v>
      </c>
      <c r="F1086" s="8">
        <v>2.46</v>
      </c>
      <c r="G1086" s="4">
        <v>4</v>
      </c>
      <c r="H1086" s="8">
        <v>3.6</v>
      </c>
      <c r="I1086" s="4">
        <v>0</v>
      </c>
    </row>
    <row r="1087" spans="1:9" x14ac:dyDescent="0.2">
      <c r="A1087" s="2">
        <v>10</v>
      </c>
      <c r="B1087" s="1" t="s">
        <v>139</v>
      </c>
      <c r="C1087" s="4">
        <v>9</v>
      </c>
      <c r="D1087" s="8">
        <v>2.42</v>
      </c>
      <c r="E1087" s="4">
        <v>8</v>
      </c>
      <c r="F1087" s="8">
        <v>3.28</v>
      </c>
      <c r="G1087" s="4">
        <v>1</v>
      </c>
      <c r="H1087" s="8">
        <v>0.9</v>
      </c>
      <c r="I1087" s="4">
        <v>0</v>
      </c>
    </row>
    <row r="1088" spans="1:9" x14ac:dyDescent="0.2">
      <c r="A1088" s="2">
        <v>11</v>
      </c>
      <c r="B1088" s="1" t="s">
        <v>123</v>
      </c>
      <c r="C1088" s="4">
        <v>8</v>
      </c>
      <c r="D1088" s="8">
        <v>2.15</v>
      </c>
      <c r="E1088" s="4">
        <v>4</v>
      </c>
      <c r="F1088" s="8">
        <v>1.64</v>
      </c>
      <c r="G1088" s="4">
        <v>4</v>
      </c>
      <c r="H1088" s="8">
        <v>3.6</v>
      </c>
      <c r="I1088" s="4">
        <v>0</v>
      </c>
    </row>
    <row r="1089" spans="1:9" x14ac:dyDescent="0.2">
      <c r="A1089" s="2">
        <v>11</v>
      </c>
      <c r="B1089" s="1" t="s">
        <v>141</v>
      </c>
      <c r="C1089" s="4">
        <v>8</v>
      </c>
      <c r="D1089" s="8">
        <v>2.15</v>
      </c>
      <c r="E1089" s="4">
        <v>8</v>
      </c>
      <c r="F1089" s="8">
        <v>3.28</v>
      </c>
      <c r="G1089" s="4">
        <v>0</v>
      </c>
      <c r="H1089" s="8">
        <v>0</v>
      </c>
      <c r="I1089" s="4">
        <v>0</v>
      </c>
    </row>
    <row r="1090" spans="1:9" x14ac:dyDescent="0.2">
      <c r="A1090" s="2">
        <v>13</v>
      </c>
      <c r="B1090" s="1" t="s">
        <v>169</v>
      </c>
      <c r="C1090" s="4">
        <v>7</v>
      </c>
      <c r="D1090" s="8">
        <v>1.88</v>
      </c>
      <c r="E1090" s="4">
        <v>7</v>
      </c>
      <c r="F1090" s="8">
        <v>2.87</v>
      </c>
      <c r="G1090" s="4">
        <v>0</v>
      </c>
      <c r="H1090" s="8">
        <v>0</v>
      </c>
      <c r="I1090" s="4">
        <v>0</v>
      </c>
    </row>
    <row r="1091" spans="1:9" x14ac:dyDescent="0.2">
      <c r="A1091" s="2">
        <v>13</v>
      </c>
      <c r="B1091" s="1" t="s">
        <v>159</v>
      </c>
      <c r="C1091" s="4">
        <v>7</v>
      </c>
      <c r="D1091" s="8">
        <v>1.88</v>
      </c>
      <c r="E1091" s="4">
        <v>4</v>
      </c>
      <c r="F1091" s="8">
        <v>1.64</v>
      </c>
      <c r="G1091" s="4">
        <v>3</v>
      </c>
      <c r="H1091" s="8">
        <v>2.7</v>
      </c>
      <c r="I1091" s="4">
        <v>0</v>
      </c>
    </row>
    <row r="1092" spans="1:9" x14ac:dyDescent="0.2">
      <c r="A1092" s="2">
        <v>13</v>
      </c>
      <c r="B1092" s="1" t="s">
        <v>154</v>
      </c>
      <c r="C1092" s="4">
        <v>7</v>
      </c>
      <c r="D1092" s="8">
        <v>1.88</v>
      </c>
      <c r="E1092" s="4">
        <v>6</v>
      </c>
      <c r="F1092" s="8">
        <v>2.46</v>
      </c>
      <c r="G1092" s="4">
        <v>1</v>
      </c>
      <c r="H1092" s="8">
        <v>0.9</v>
      </c>
      <c r="I1092" s="4">
        <v>0</v>
      </c>
    </row>
    <row r="1093" spans="1:9" x14ac:dyDescent="0.2">
      <c r="A1093" s="2">
        <v>13</v>
      </c>
      <c r="B1093" s="1" t="s">
        <v>126</v>
      </c>
      <c r="C1093" s="4">
        <v>7</v>
      </c>
      <c r="D1093" s="8">
        <v>1.88</v>
      </c>
      <c r="E1093" s="4">
        <v>4</v>
      </c>
      <c r="F1093" s="8">
        <v>1.64</v>
      </c>
      <c r="G1093" s="4">
        <v>2</v>
      </c>
      <c r="H1093" s="8">
        <v>1.8</v>
      </c>
      <c r="I1093" s="4">
        <v>1</v>
      </c>
    </row>
    <row r="1094" spans="1:9" x14ac:dyDescent="0.2">
      <c r="A1094" s="2">
        <v>13</v>
      </c>
      <c r="B1094" s="1" t="s">
        <v>140</v>
      </c>
      <c r="C1094" s="4">
        <v>7</v>
      </c>
      <c r="D1094" s="8">
        <v>1.88</v>
      </c>
      <c r="E1094" s="4">
        <v>7</v>
      </c>
      <c r="F1094" s="8">
        <v>2.87</v>
      </c>
      <c r="G1094" s="4">
        <v>0</v>
      </c>
      <c r="H1094" s="8">
        <v>0</v>
      </c>
      <c r="I1094" s="4">
        <v>0</v>
      </c>
    </row>
    <row r="1095" spans="1:9" x14ac:dyDescent="0.2">
      <c r="A1095" s="2">
        <v>18</v>
      </c>
      <c r="B1095" s="1" t="s">
        <v>127</v>
      </c>
      <c r="C1095" s="4">
        <v>6</v>
      </c>
      <c r="D1095" s="8">
        <v>1.61</v>
      </c>
      <c r="E1095" s="4">
        <v>4</v>
      </c>
      <c r="F1095" s="8">
        <v>1.64</v>
      </c>
      <c r="G1095" s="4">
        <v>2</v>
      </c>
      <c r="H1095" s="8">
        <v>1.8</v>
      </c>
      <c r="I1095" s="4">
        <v>0</v>
      </c>
    </row>
    <row r="1096" spans="1:9" x14ac:dyDescent="0.2">
      <c r="A1096" s="2">
        <v>19</v>
      </c>
      <c r="B1096" s="1" t="s">
        <v>176</v>
      </c>
      <c r="C1096" s="4">
        <v>5</v>
      </c>
      <c r="D1096" s="8">
        <v>1.34</v>
      </c>
      <c r="E1096" s="4">
        <v>0</v>
      </c>
      <c r="F1096" s="8">
        <v>0</v>
      </c>
      <c r="G1096" s="4">
        <v>5</v>
      </c>
      <c r="H1096" s="8">
        <v>4.5</v>
      </c>
      <c r="I1096" s="4">
        <v>0</v>
      </c>
    </row>
    <row r="1097" spans="1:9" x14ac:dyDescent="0.2">
      <c r="A1097" s="2">
        <v>19</v>
      </c>
      <c r="B1097" s="1" t="s">
        <v>189</v>
      </c>
      <c r="C1097" s="4">
        <v>5</v>
      </c>
      <c r="D1097" s="8">
        <v>1.34</v>
      </c>
      <c r="E1097" s="4">
        <v>4</v>
      </c>
      <c r="F1097" s="8">
        <v>1.64</v>
      </c>
      <c r="G1097" s="4">
        <v>1</v>
      </c>
      <c r="H1097" s="8">
        <v>0.9</v>
      </c>
      <c r="I1097" s="4">
        <v>0</v>
      </c>
    </row>
    <row r="1098" spans="1:9" x14ac:dyDescent="0.2">
      <c r="A1098" s="2">
        <v>19</v>
      </c>
      <c r="B1098" s="1" t="s">
        <v>144</v>
      </c>
      <c r="C1098" s="4">
        <v>5</v>
      </c>
      <c r="D1098" s="8">
        <v>1.34</v>
      </c>
      <c r="E1098" s="4">
        <v>2</v>
      </c>
      <c r="F1098" s="8">
        <v>0.82</v>
      </c>
      <c r="G1098" s="4">
        <v>3</v>
      </c>
      <c r="H1098" s="8">
        <v>2.7</v>
      </c>
      <c r="I1098" s="4">
        <v>0</v>
      </c>
    </row>
    <row r="1099" spans="1:9" x14ac:dyDescent="0.2">
      <c r="A1099" s="2">
        <v>19</v>
      </c>
      <c r="B1099" s="1" t="s">
        <v>146</v>
      </c>
      <c r="C1099" s="4">
        <v>5</v>
      </c>
      <c r="D1099" s="8">
        <v>1.34</v>
      </c>
      <c r="E1099" s="4">
        <v>4</v>
      </c>
      <c r="F1099" s="8">
        <v>1.64</v>
      </c>
      <c r="G1099" s="4">
        <v>1</v>
      </c>
      <c r="H1099" s="8">
        <v>0.9</v>
      </c>
      <c r="I1099" s="4">
        <v>0</v>
      </c>
    </row>
    <row r="1100" spans="1:9" x14ac:dyDescent="0.2">
      <c r="A1100" s="2">
        <v>19</v>
      </c>
      <c r="B1100" s="1" t="s">
        <v>206</v>
      </c>
      <c r="C1100" s="4">
        <v>5</v>
      </c>
      <c r="D1100" s="8">
        <v>1.34</v>
      </c>
      <c r="E1100" s="4">
        <v>5</v>
      </c>
      <c r="F1100" s="8">
        <v>2.0499999999999998</v>
      </c>
      <c r="G1100" s="4">
        <v>0</v>
      </c>
      <c r="H1100" s="8">
        <v>0</v>
      </c>
      <c r="I1100" s="4">
        <v>0</v>
      </c>
    </row>
    <row r="1101" spans="1:9" x14ac:dyDescent="0.2">
      <c r="A1101" s="2">
        <v>19</v>
      </c>
      <c r="B1101" s="1" t="s">
        <v>202</v>
      </c>
      <c r="C1101" s="4">
        <v>5</v>
      </c>
      <c r="D1101" s="8">
        <v>1.34</v>
      </c>
      <c r="E1101" s="4">
        <v>4</v>
      </c>
      <c r="F1101" s="8">
        <v>1.64</v>
      </c>
      <c r="G1101" s="4">
        <v>1</v>
      </c>
      <c r="H1101" s="8">
        <v>0.9</v>
      </c>
      <c r="I1101" s="4">
        <v>0</v>
      </c>
    </row>
    <row r="1102" spans="1:9" x14ac:dyDescent="0.2">
      <c r="A1102" s="1"/>
      <c r="C1102" s="4"/>
      <c r="D1102" s="8"/>
      <c r="E1102" s="4"/>
      <c r="F1102" s="8"/>
      <c r="G1102" s="4"/>
      <c r="H1102" s="8"/>
      <c r="I1102" s="4"/>
    </row>
    <row r="1103" spans="1:9" x14ac:dyDescent="0.2">
      <c r="A1103" s="1" t="s">
        <v>48</v>
      </c>
      <c r="C1103" s="4"/>
      <c r="D1103" s="8"/>
      <c r="E1103" s="4"/>
      <c r="F1103" s="8"/>
      <c r="G1103" s="4"/>
      <c r="H1103" s="8"/>
      <c r="I1103" s="4"/>
    </row>
    <row r="1104" spans="1:9" x14ac:dyDescent="0.2">
      <c r="A1104" s="2">
        <v>1</v>
      </c>
      <c r="B1104" s="1" t="s">
        <v>122</v>
      </c>
      <c r="C1104" s="4">
        <v>37</v>
      </c>
      <c r="D1104" s="8">
        <v>6.47</v>
      </c>
      <c r="E1104" s="4">
        <v>8</v>
      </c>
      <c r="F1104" s="8">
        <v>2.0699999999999998</v>
      </c>
      <c r="G1104" s="4">
        <v>29</v>
      </c>
      <c r="H1104" s="8">
        <v>16.57</v>
      </c>
      <c r="I1104" s="4">
        <v>0</v>
      </c>
    </row>
    <row r="1105" spans="1:9" x14ac:dyDescent="0.2">
      <c r="A1105" s="2">
        <v>2</v>
      </c>
      <c r="B1105" s="1" t="s">
        <v>138</v>
      </c>
      <c r="C1105" s="4">
        <v>26</v>
      </c>
      <c r="D1105" s="8">
        <v>4.55</v>
      </c>
      <c r="E1105" s="4">
        <v>25</v>
      </c>
      <c r="F1105" s="8">
        <v>6.46</v>
      </c>
      <c r="G1105" s="4">
        <v>1</v>
      </c>
      <c r="H1105" s="8">
        <v>0.56999999999999995</v>
      </c>
      <c r="I1105" s="4">
        <v>0</v>
      </c>
    </row>
    <row r="1106" spans="1:9" x14ac:dyDescent="0.2">
      <c r="A1106" s="2">
        <v>3</v>
      </c>
      <c r="B1106" s="1" t="s">
        <v>137</v>
      </c>
      <c r="C1106" s="4">
        <v>20</v>
      </c>
      <c r="D1106" s="8">
        <v>3.5</v>
      </c>
      <c r="E1106" s="4">
        <v>20</v>
      </c>
      <c r="F1106" s="8">
        <v>5.17</v>
      </c>
      <c r="G1106" s="4">
        <v>0</v>
      </c>
      <c r="H1106" s="8">
        <v>0</v>
      </c>
      <c r="I1106" s="4">
        <v>0</v>
      </c>
    </row>
    <row r="1107" spans="1:9" x14ac:dyDescent="0.2">
      <c r="A1107" s="2">
        <v>4</v>
      </c>
      <c r="B1107" s="1" t="s">
        <v>136</v>
      </c>
      <c r="C1107" s="4">
        <v>19</v>
      </c>
      <c r="D1107" s="8">
        <v>3.32</v>
      </c>
      <c r="E1107" s="4">
        <v>19</v>
      </c>
      <c r="F1107" s="8">
        <v>4.91</v>
      </c>
      <c r="G1107" s="4">
        <v>0</v>
      </c>
      <c r="H1107" s="8">
        <v>0</v>
      </c>
      <c r="I1107" s="4">
        <v>0</v>
      </c>
    </row>
    <row r="1108" spans="1:9" x14ac:dyDescent="0.2">
      <c r="A1108" s="2">
        <v>5</v>
      </c>
      <c r="B1108" s="1" t="s">
        <v>169</v>
      </c>
      <c r="C1108" s="4">
        <v>18</v>
      </c>
      <c r="D1108" s="8">
        <v>3.15</v>
      </c>
      <c r="E1108" s="4">
        <v>15</v>
      </c>
      <c r="F1108" s="8">
        <v>3.88</v>
      </c>
      <c r="G1108" s="4">
        <v>3</v>
      </c>
      <c r="H1108" s="8">
        <v>1.71</v>
      </c>
      <c r="I1108" s="4">
        <v>0</v>
      </c>
    </row>
    <row r="1109" spans="1:9" x14ac:dyDescent="0.2">
      <c r="A1109" s="2">
        <v>6</v>
      </c>
      <c r="B1109" s="1" t="s">
        <v>127</v>
      </c>
      <c r="C1109" s="4">
        <v>16</v>
      </c>
      <c r="D1109" s="8">
        <v>2.8</v>
      </c>
      <c r="E1109" s="4">
        <v>12</v>
      </c>
      <c r="F1109" s="8">
        <v>3.1</v>
      </c>
      <c r="G1109" s="4">
        <v>4</v>
      </c>
      <c r="H1109" s="8">
        <v>2.29</v>
      </c>
      <c r="I1109" s="4">
        <v>0</v>
      </c>
    </row>
    <row r="1110" spans="1:9" x14ac:dyDescent="0.2">
      <c r="A1110" s="2">
        <v>7</v>
      </c>
      <c r="B1110" s="1" t="s">
        <v>165</v>
      </c>
      <c r="C1110" s="4">
        <v>15</v>
      </c>
      <c r="D1110" s="8">
        <v>2.62</v>
      </c>
      <c r="E1110" s="4">
        <v>13</v>
      </c>
      <c r="F1110" s="8">
        <v>3.36</v>
      </c>
      <c r="G1110" s="4">
        <v>2</v>
      </c>
      <c r="H1110" s="8">
        <v>1.1399999999999999</v>
      </c>
      <c r="I1110" s="4">
        <v>0</v>
      </c>
    </row>
    <row r="1111" spans="1:9" x14ac:dyDescent="0.2">
      <c r="A1111" s="2">
        <v>8</v>
      </c>
      <c r="B1111" s="1" t="s">
        <v>124</v>
      </c>
      <c r="C1111" s="4">
        <v>14</v>
      </c>
      <c r="D1111" s="8">
        <v>2.4500000000000002</v>
      </c>
      <c r="E1111" s="4">
        <v>11</v>
      </c>
      <c r="F1111" s="8">
        <v>2.84</v>
      </c>
      <c r="G1111" s="4">
        <v>3</v>
      </c>
      <c r="H1111" s="8">
        <v>1.71</v>
      </c>
      <c r="I1111" s="4">
        <v>0</v>
      </c>
    </row>
    <row r="1112" spans="1:9" x14ac:dyDescent="0.2">
      <c r="A1112" s="2">
        <v>9</v>
      </c>
      <c r="B1112" s="1" t="s">
        <v>144</v>
      </c>
      <c r="C1112" s="4">
        <v>11</v>
      </c>
      <c r="D1112" s="8">
        <v>1.92</v>
      </c>
      <c r="E1112" s="4">
        <v>5</v>
      </c>
      <c r="F1112" s="8">
        <v>1.29</v>
      </c>
      <c r="G1112" s="4">
        <v>6</v>
      </c>
      <c r="H1112" s="8">
        <v>3.43</v>
      </c>
      <c r="I1112" s="4">
        <v>0</v>
      </c>
    </row>
    <row r="1113" spans="1:9" x14ac:dyDescent="0.2">
      <c r="A1113" s="2">
        <v>10</v>
      </c>
      <c r="B1113" s="1" t="s">
        <v>123</v>
      </c>
      <c r="C1113" s="4">
        <v>10</v>
      </c>
      <c r="D1113" s="8">
        <v>1.75</v>
      </c>
      <c r="E1113" s="4">
        <v>5</v>
      </c>
      <c r="F1113" s="8">
        <v>1.29</v>
      </c>
      <c r="G1113" s="4">
        <v>5</v>
      </c>
      <c r="H1113" s="8">
        <v>2.86</v>
      </c>
      <c r="I1113" s="4">
        <v>0</v>
      </c>
    </row>
    <row r="1114" spans="1:9" x14ac:dyDescent="0.2">
      <c r="A1114" s="2">
        <v>10</v>
      </c>
      <c r="B1114" s="1" t="s">
        <v>191</v>
      </c>
      <c r="C1114" s="4">
        <v>10</v>
      </c>
      <c r="D1114" s="8">
        <v>1.75</v>
      </c>
      <c r="E1114" s="4">
        <v>5</v>
      </c>
      <c r="F1114" s="8">
        <v>1.29</v>
      </c>
      <c r="G1114" s="4">
        <v>5</v>
      </c>
      <c r="H1114" s="8">
        <v>2.86</v>
      </c>
      <c r="I1114" s="4">
        <v>0</v>
      </c>
    </row>
    <row r="1115" spans="1:9" x14ac:dyDescent="0.2">
      <c r="A1115" s="2">
        <v>10</v>
      </c>
      <c r="B1115" s="1" t="s">
        <v>154</v>
      </c>
      <c r="C1115" s="4">
        <v>10</v>
      </c>
      <c r="D1115" s="8">
        <v>1.75</v>
      </c>
      <c r="E1115" s="4">
        <v>8</v>
      </c>
      <c r="F1115" s="8">
        <v>2.0699999999999998</v>
      </c>
      <c r="G1115" s="4">
        <v>2</v>
      </c>
      <c r="H1115" s="8">
        <v>1.1399999999999999</v>
      </c>
      <c r="I1115" s="4">
        <v>0</v>
      </c>
    </row>
    <row r="1116" spans="1:9" x14ac:dyDescent="0.2">
      <c r="A1116" s="2">
        <v>10</v>
      </c>
      <c r="B1116" s="1" t="s">
        <v>126</v>
      </c>
      <c r="C1116" s="4">
        <v>10</v>
      </c>
      <c r="D1116" s="8">
        <v>1.75</v>
      </c>
      <c r="E1116" s="4">
        <v>9</v>
      </c>
      <c r="F1116" s="8">
        <v>2.33</v>
      </c>
      <c r="G1116" s="4">
        <v>1</v>
      </c>
      <c r="H1116" s="8">
        <v>0.56999999999999995</v>
      </c>
      <c r="I1116" s="4">
        <v>0</v>
      </c>
    </row>
    <row r="1117" spans="1:9" x14ac:dyDescent="0.2">
      <c r="A1117" s="2">
        <v>10</v>
      </c>
      <c r="B1117" s="1" t="s">
        <v>133</v>
      </c>
      <c r="C1117" s="4">
        <v>10</v>
      </c>
      <c r="D1117" s="8">
        <v>1.75</v>
      </c>
      <c r="E1117" s="4">
        <v>10</v>
      </c>
      <c r="F1117" s="8">
        <v>2.58</v>
      </c>
      <c r="G1117" s="4">
        <v>0</v>
      </c>
      <c r="H1117" s="8">
        <v>0</v>
      </c>
      <c r="I1117" s="4">
        <v>0</v>
      </c>
    </row>
    <row r="1118" spans="1:9" x14ac:dyDescent="0.2">
      <c r="A1118" s="2">
        <v>15</v>
      </c>
      <c r="B1118" s="1" t="s">
        <v>159</v>
      </c>
      <c r="C1118" s="4">
        <v>9</v>
      </c>
      <c r="D1118" s="8">
        <v>1.57</v>
      </c>
      <c r="E1118" s="4">
        <v>6</v>
      </c>
      <c r="F1118" s="8">
        <v>1.55</v>
      </c>
      <c r="G1118" s="4">
        <v>3</v>
      </c>
      <c r="H1118" s="8">
        <v>1.71</v>
      </c>
      <c r="I1118" s="4">
        <v>0</v>
      </c>
    </row>
    <row r="1119" spans="1:9" x14ac:dyDescent="0.2">
      <c r="A1119" s="2">
        <v>15</v>
      </c>
      <c r="B1119" s="1" t="s">
        <v>151</v>
      </c>
      <c r="C1119" s="4">
        <v>9</v>
      </c>
      <c r="D1119" s="8">
        <v>1.57</v>
      </c>
      <c r="E1119" s="4">
        <v>9</v>
      </c>
      <c r="F1119" s="8">
        <v>2.33</v>
      </c>
      <c r="G1119" s="4">
        <v>0</v>
      </c>
      <c r="H1119" s="8">
        <v>0</v>
      </c>
      <c r="I1119" s="4">
        <v>0</v>
      </c>
    </row>
    <row r="1120" spans="1:9" x14ac:dyDescent="0.2">
      <c r="A1120" s="2">
        <v>17</v>
      </c>
      <c r="B1120" s="1" t="s">
        <v>128</v>
      </c>
      <c r="C1120" s="4">
        <v>8</v>
      </c>
      <c r="D1120" s="8">
        <v>1.4</v>
      </c>
      <c r="E1120" s="4">
        <v>5</v>
      </c>
      <c r="F1120" s="8">
        <v>1.29</v>
      </c>
      <c r="G1120" s="4">
        <v>3</v>
      </c>
      <c r="H1120" s="8">
        <v>1.71</v>
      </c>
      <c r="I1120" s="4">
        <v>0</v>
      </c>
    </row>
    <row r="1121" spans="1:9" x14ac:dyDescent="0.2">
      <c r="A1121" s="2">
        <v>17</v>
      </c>
      <c r="B1121" s="1" t="s">
        <v>129</v>
      </c>
      <c r="C1121" s="4">
        <v>8</v>
      </c>
      <c r="D1121" s="8">
        <v>1.4</v>
      </c>
      <c r="E1121" s="4">
        <v>5</v>
      </c>
      <c r="F1121" s="8">
        <v>1.29</v>
      </c>
      <c r="G1121" s="4">
        <v>3</v>
      </c>
      <c r="H1121" s="8">
        <v>1.71</v>
      </c>
      <c r="I1121" s="4">
        <v>0</v>
      </c>
    </row>
    <row r="1122" spans="1:9" x14ac:dyDescent="0.2">
      <c r="A1122" s="2">
        <v>17</v>
      </c>
      <c r="B1122" s="1" t="s">
        <v>132</v>
      </c>
      <c r="C1122" s="4">
        <v>8</v>
      </c>
      <c r="D1122" s="8">
        <v>1.4</v>
      </c>
      <c r="E1122" s="4">
        <v>3</v>
      </c>
      <c r="F1122" s="8">
        <v>0.78</v>
      </c>
      <c r="G1122" s="4">
        <v>5</v>
      </c>
      <c r="H1122" s="8">
        <v>2.86</v>
      </c>
      <c r="I1122" s="4">
        <v>0</v>
      </c>
    </row>
    <row r="1123" spans="1:9" x14ac:dyDescent="0.2">
      <c r="A1123" s="2">
        <v>17</v>
      </c>
      <c r="B1123" s="1" t="s">
        <v>196</v>
      </c>
      <c r="C1123" s="4">
        <v>8</v>
      </c>
      <c r="D1123" s="8">
        <v>1.4</v>
      </c>
      <c r="E1123" s="4">
        <v>8</v>
      </c>
      <c r="F1123" s="8">
        <v>2.0699999999999998</v>
      </c>
      <c r="G1123" s="4">
        <v>0</v>
      </c>
      <c r="H1123" s="8">
        <v>0</v>
      </c>
      <c r="I1123" s="4">
        <v>0</v>
      </c>
    </row>
    <row r="1124" spans="1:9" x14ac:dyDescent="0.2">
      <c r="A1124" s="2">
        <v>17</v>
      </c>
      <c r="B1124" s="1" t="s">
        <v>140</v>
      </c>
      <c r="C1124" s="4">
        <v>8</v>
      </c>
      <c r="D1124" s="8">
        <v>1.4</v>
      </c>
      <c r="E1124" s="4">
        <v>6</v>
      </c>
      <c r="F1124" s="8">
        <v>1.55</v>
      </c>
      <c r="G1124" s="4">
        <v>2</v>
      </c>
      <c r="H1124" s="8">
        <v>1.1399999999999999</v>
      </c>
      <c r="I1124" s="4">
        <v>0</v>
      </c>
    </row>
    <row r="1125" spans="1:9" x14ac:dyDescent="0.2">
      <c r="A1125" s="1"/>
      <c r="C1125" s="4"/>
      <c r="D1125" s="8"/>
      <c r="E1125" s="4"/>
      <c r="F1125" s="8"/>
      <c r="G1125" s="4"/>
      <c r="H1125" s="8"/>
      <c r="I1125" s="4"/>
    </row>
    <row r="1126" spans="1:9" x14ac:dyDescent="0.2">
      <c r="A1126" s="1" t="s">
        <v>49</v>
      </c>
      <c r="C1126" s="4"/>
      <c r="D1126" s="8"/>
      <c r="E1126" s="4"/>
      <c r="F1126" s="8"/>
      <c r="G1126" s="4"/>
      <c r="H1126" s="8"/>
      <c r="I1126" s="4"/>
    </row>
    <row r="1127" spans="1:9" x14ac:dyDescent="0.2">
      <c r="A1127" s="2">
        <v>1</v>
      </c>
      <c r="B1127" s="1" t="s">
        <v>171</v>
      </c>
      <c r="C1127" s="4">
        <v>91</v>
      </c>
      <c r="D1127" s="8">
        <v>12.35</v>
      </c>
      <c r="E1127" s="4">
        <v>82</v>
      </c>
      <c r="F1127" s="8">
        <v>15.38</v>
      </c>
      <c r="G1127" s="4">
        <v>9</v>
      </c>
      <c r="H1127" s="8">
        <v>5.49</v>
      </c>
      <c r="I1127" s="4">
        <v>0</v>
      </c>
    </row>
    <row r="1128" spans="1:9" x14ac:dyDescent="0.2">
      <c r="A1128" s="2">
        <v>2</v>
      </c>
      <c r="B1128" s="1" t="s">
        <v>194</v>
      </c>
      <c r="C1128" s="4">
        <v>39</v>
      </c>
      <c r="D1128" s="8">
        <v>5.29</v>
      </c>
      <c r="E1128" s="4">
        <v>13</v>
      </c>
      <c r="F1128" s="8">
        <v>2.44</v>
      </c>
      <c r="G1128" s="4">
        <v>26</v>
      </c>
      <c r="H1128" s="8">
        <v>15.85</v>
      </c>
      <c r="I1128" s="4">
        <v>0</v>
      </c>
    </row>
    <row r="1129" spans="1:9" x14ac:dyDescent="0.2">
      <c r="A1129" s="2">
        <v>3</v>
      </c>
      <c r="B1129" s="1" t="s">
        <v>138</v>
      </c>
      <c r="C1129" s="4">
        <v>26</v>
      </c>
      <c r="D1129" s="8">
        <v>3.53</v>
      </c>
      <c r="E1129" s="4">
        <v>26</v>
      </c>
      <c r="F1129" s="8">
        <v>4.88</v>
      </c>
      <c r="G1129" s="4">
        <v>0</v>
      </c>
      <c r="H1129" s="8">
        <v>0</v>
      </c>
      <c r="I1129" s="4">
        <v>0</v>
      </c>
    </row>
    <row r="1130" spans="1:9" x14ac:dyDescent="0.2">
      <c r="A1130" s="2">
        <v>4</v>
      </c>
      <c r="B1130" s="1" t="s">
        <v>169</v>
      </c>
      <c r="C1130" s="4">
        <v>25</v>
      </c>
      <c r="D1130" s="8">
        <v>3.39</v>
      </c>
      <c r="E1130" s="4">
        <v>23</v>
      </c>
      <c r="F1130" s="8">
        <v>4.32</v>
      </c>
      <c r="G1130" s="4">
        <v>2</v>
      </c>
      <c r="H1130" s="8">
        <v>1.22</v>
      </c>
      <c r="I1130" s="4">
        <v>0</v>
      </c>
    </row>
    <row r="1131" spans="1:9" x14ac:dyDescent="0.2">
      <c r="A1131" s="2">
        <v>5</v>
      </c>
      <c r="B1131" s="1" t="s">
        <v>137</v>
      </c>
      <c r="C1131" s="4">
        <v>20</v>
      </c>
      <c r="D1131" s="8">
        <v>2.71</v>
      </c>
      <c r="E1131" s="4">
        <v>20</v>
      </c>
      <c r="F1131" s="8">
        <v>3.75</v>
      </c>
      <c r="G1131" s="4">
        <v>0</v>
      </c>
      <c r="H1131" s="8">
        <v>0</v>
      </c>
      <c r="I1131" s="4">
        <v>0</v>
      </c>
    </row>
    <row r="1132" spans="1:9" x14ac:dyDescent="0.2">
      <c r="A1132" s="2">
        <v>6</v>
      </c>
      <c r="B1132" s="1" t="s">
        <v>210</v>
      </c>
      <c r="C1132" s="4">
        <v>16</v>
      </c>
      <c r="D1132" s="8">
        <v>2.17</v>
      </c>
      <c r="E1132" s="4">
        <v>10</v>
      </c>
      <c r="F1132" s="8">
        <v>1.88</v>
      </c>
      <c r="G1132" s="4">
        <v>6</v>
      </c>
      <c r="H1132" s="8">
        <v>3.66</v>
      </c>
      <c r="I1132" s="4">
        <v>0</v>
      </c>
    </row>
    <row r="1133" spans="1:9" x14ac:dyDescent="0.2">
      <c r="A1133" s="2">
        <v>6</v>
      </c>
      <c r="B1133" s="1" t="s">
        <v>126</v>
      </c>
      <c r="C1133" s="4">
        <v>16</v>
      </c>
      <c r="D1133" s="8">
        <v>2.17</v>
      </c>
      <c r="E1133" s="4">
        <v>12</v>
      </c>
      <c r="F1133" s="8">
        <v>2.25</v>
      </c>
      <c r="G1133" s="4">
        <v>4</v>
      </c>
      <c r="H1133" s="8">
        <v>2.44</v>
      </c>
      <c r="I1133" s="4">
        <v>0</v>
      </c>
    </row>
    <row r="1134" spans="1:9" x14ac:dyDescent="0.2">
      <c r="A1134" s="2">
        <v>8</v>
      </c>
      <c r="B1134" s="1" t="s">
        <v>124</v>
      </c>
      <c r="C1134" s="4">
        <v>15</v>
      </c>
      <c r="D1134" s="8">
        <v>2.04</v>
      </c>
      <c r="E1134" s="4">
        <v>14</v>
      </c>
      <c r="F1134" s="8">
        <v>2.63</v>
      </c>
      <c r="G1134" s="4">
        <v>1</v>
      </c>
      <c r="H1134" s="8">
        <v>0.61</v>
      </c>
      <c r="I1134" s="4">
        <v>0</v>
      </c>
    </row>
    <row r="1135" spans="1:9" x14ac:dyDescent="0.2">
      <c r="A1135" s="2">
        <v>8</v>
      </c>
      <c r="B1135" s="1" t="s">
        <v>127</v>
      </c>
      <c r="C1135" s="4">
        <v>15</v>
      </c>
      <c r="D1135" s="8">
        <v>2.04</v>
      </c>
      <c r="E1135" s="4">
        <v>8</v>
      </c>
      <c r="F1135" s="8">
        <v>1.5</v>
      </c>
      <c r="G1135" s="4">
        <v>7</v>
      </c>
      <c r="H1135" s="8">
        <v>4.2699999999999996</v>
      </c>
      <c r="I1135" s="4">
        <v>0</v>
      </c>
    </row>
    <row r="1136" spans="1:9" x14ac:dyDescent="0.2">
      <c r="A1136" s="2">
        <v>8</v>
      </c>
      <c r="B1136" s="1" t="s">
        <v>129</v>
      </c>
      <c r="C1136" s="4">
        <v>15</v>
      </c>
      <c r="D1136" s="8">
        <v>2.04</v>
      </c>
      <c r="E1136" s="4">
        <v>12</v>
      </c>
      <c r="F1136" s="8">
        <v>2.25</v>
      </c>
      <c r="G1136" s="4">
        <v>3</v>
      </c>
      <c r="H1136" s="8">
        <v>1.83</v>
      </c>
      <c r="I1136" s="4">
        <v>0</v>
      </c>
    </row>
    <row r="1137" spans="1:9" x14ac:dyDescent="0.2">
      <c r="A1137" s="2">
        <v>11</v>
      </c>
      <c r="B1137" s="1" t="s">
        <v>123</v>
      </c>
      <c r="C1137" s="4">
        <v>14</v>
      </c>
      <c r="D1137" s="8">
        <v>1.9</v>
      </c>
      <c r="E1137" s="4">
        <v>8</v>
      </c>
      <c r="F1137" s="8">
        <v>1.5</v>
      </c>
      <c r="G1137" s="4">
        <v>6</v>
      </c>
      <c r="H1137" s="8">
        <v>3.66</v>
      </c>
      <c r="I1137" s="4">
        <v>0</v>
      </c>
    </row>
    <row r="1138" spans="1:9" x14ac:dyDescent="0.2">
      <c r="A1138" s="2">
        <v>11</v>
      </c>
      <c r="B1138" s="1" t="s">
        <v>208</v>
      </c>
      <c r="C1138" s="4">
        <v>14</v>
      </c>
      <c r="D1138" s="8">
        <v>1.9</v>
      </c>
      <c r="E1138" s="4">
        <v>0</v>
      </c>
      <c r="F1138" s="8">
        <v>0</v>
      </c>
      <c r="G1138" s="4">
        <v>0</v>
      </c>
      <c r="H1138" s="8">
        <v>0</v>
      </c>
      <c r="I1138" s="4">
        <v>1</v>
      </c>
    </row>
    <row r="1139" spans="1:9" x14ac:dyDescent="0.2">
      <c r="A1139" s="2">
        <v>13</v>
      </c>
      <c r="B1139" s="1" t="s">
        <v>154</v>
      </c>
      <c r="C1139" s="4">
        <v>13</v>
      </c>
      <c r="D1139" s="8">
        <v>1.76</v>
      </c>
      <c r="E1139" s="4">
        <v>13</v>
      </c>
      <c r="F1139" s="8">
        <v>2.44</v>
      </c>
      <c r="G1139" s="4">
        <v>0</v>
      </c>
      <c r="H1139" s="8">
        <v>0</v>
      </c>
      <c r="I1139" s="4">
        <v>0</v>
      </c>
    </row>
    <row r="1140" spans="1:9" x14ac:dyDescent="0.2">
      <c r="A1140" s="2">
        <v>13</v>
      </c>
      <c r="B1140" s="1" t="s">
        <v>140</v>
      </c>
      <c r="C1140" s="4">
        <v>13</v>
      </c>
      <c r="D1140" s="8">
        <v>1.76</v>
      </c>
      <c r="E1140" s="4">
        <v>13</v>
      </c>
      <c r="F1140" s="8">
        <v>2.44</v>
      </c>
      <c r="G1140" s="4">
        <v>0</v>
      </c>
      <c r="H1140" s="8">
        <v>0</v>
      </c>
      <c r="I1140" s="4">
        <v>0</v>
      </c>
    </row>
    <row r="1141" spans="1:9" x14ac:dyDescent="0.2">
      <c r="A1141" s="2">
        <v>13</v>
      </c>
      <c r="B1141" s="1" t="s">
        <v>200</v>
      </c>
      <c r="C1141" s="4">
        <v>13</v>
      </c>
      <c r="D1141" s="8">
        <v>1.76</v>
      </c>
      <c r="E1141" s="4">
        <v>0</v>
      </c>
      <c r="F1141" s="8">
        <v>0</v>
      </c>
      <c r="G1141" s="4">
        <v>0</v>
      </c>
      <c r="H1141" s="8">
        <v>0</v>
      </c>
      <c r="I1141" s="4">
        <v>0</v>
      </c>
    </row>
    <row r="1142" spans="1:9" x14ac:dyDescent="0.2">
      <c r="A1142" s="2">
        <v>16</v>
      </c>
      <c r="B1142" s="1" t="s">
        <v>172</v>
      </c>
      <c r="C1142" s="4">
        <v>12</v>
      </c>
      <c r="D1142" s="8">
        <v>1.63</v>
      </c>
      <c r="E1142" s="4">
        <v>5</v>
      </c>
      <c r="F1142" s="8">
        <v>0.94</v>
      </c>
      <c r="G1142" s="4">
        <v>7</v>
      </c>
      <c r="H1142" s="8">
        <v>4.2699999999999996</v>
      </c>
      <c r="I1142" s="4">
        <v>0</v>
      </c>
    </row>
    <row r="1143" spans="1:9" x14ac:dyDescent="0.2">
      <c r="A1143" s="2">
        <v>16</v>
      </c>
      <c r="B1143" s="1" t="s">
        <v>144</v>
      </c>
      <c r="C1143" s="4">
        <v>12</v>
      </c>
      <c r="D1143" s="8">
        <v>1.63</v>
      </c>
      <c r="E1143" s="4">
        <v>11</v>
      </c>
      <c r="F1143" s="8">
        <v>2.06</v>
      </c>
      <c r="G1143" s="4">
        <v>0</v>
      </c>
      <c r="H1143" s="8">
        <v>0</v>
      </c>
      <c r="I1143" s="4">
        <v>0</v>
      </c>
    </row>
    <row r="1144" spans="1:9" x14ac:dyDescent="0.2">
      <c r="A1144" s="2">
        <v>18</v>
      </c>
      <c r="B1144" s="1" t="s">
        <v>122</v>
      </c>
      <c r="C1144" s="4">
        <v>11</v>
      </c>
      <c r="D1144" s="8">
        <v>1.49</v>
      </c>
      <c r="E1144" s="4">
        <v>4</v>
      </c>
      <c r="F1144" s="8">
        <v>0.75</v>
      </c>
      <c r="G1144" s="4">
        <v>7</v>
      </c>
      <c r="H1144" s="8">
        <v>4.2699999999999996</v>
      </c>
      <c r="I1144" s="4">
        <v>0</v>
      </c>
    </row>
    <row r="1145" spans="1:9" x14ac:dyDescent="0.2">
      <c r="A1145" s="2">
        <v>18</v>
      </c>
      <c r="B1145" s="1" t="s">
        <v>196</v>
      </c>
      <c r="C1145" s="4">
        <v>11</v>
      </c>
      <c r="D1145" s="8">
        <v>1.49</v>
      </c>
      <c r="E1145" s="4">
        <v>10</v>
      </c>
      <c r="F1145" s="8">
        <v>1.88</v>
      </c>
      <c r="G1145" s="4">
        <v>1</v>
      </c>
      <c r="H1145" s="8">
        <v>0.61</v>
      </c>
      <c r="I1145" s="4">
        <v>0</v>
      </c>
    </row>
    <row r="1146" spans="1:9" x14ac:dyDescent="0.2">
      <c r="A1146" s="2">
        <v>18</v>
      </c>
      <c r="B1146" s="1" t="s">
        <v>134</v>
      </c>
      <c r="C1146" s="4">
        <v>11</v>
      </c>
      <c r="D1146" s="8">
        <v>1.49</v>
      </c>
      <c r="E1146" s="4">
        <v>11</v>
      </c>
      <c r="F1146" s="8">
        <v>2.06</v>
      </c>
      <c r="G1146" s="4">
        <v>0</v>
      </c>
      <c r="H1146" s="8">
        <v>0</v>
      </c>
      <c r="I1146" s="4">
        <v>0</v>
      </c>
    </row>
    <row r="1147" spans="1:9" x14ac:dyDescent="0.2">
      <c r="A1147" s="2">
        <v>18</v>
      </c>
      <c r="B1147" s="1" t="s">
        <v>139</v>
      </c>
      <c r="C1147" s="4">
        <v>11</v>
      </c>
      <c r="D1147" s="8">
        <v>1.49</v>
      </c>
      <c r="E1147" s="4">
        <v>10</v>
      </c>
      <c r="F1147" s="8">
        <v>1.88</v>
      </c>
      <c r="G1147" s="4">
        <v>1</v>
      </c>
      <c r="H1147" s="8">
        <v>0.61</v>
      </c>
      <c r="I1147" s="4">
        <v>0</v>
      </c>
    </row>
    <row r="1148" spans="1:9" x14ac:dyDescent="0.2">
      <c r="A1148" s="2">
        <v>18</v>
      </c>
      <c r="B1148" s="1" t="s">
        <v>141</v>
      </c>
      <c r="C1148" s="4">
        <v>11</v>
      </c>
      <c r="D1148" s="8">
        <v>1.49</v>
      </c>
      <c r="E1148" s="4">
        <v>11</v>
      </c>
      <c r="F1148" s="8">
        <v>2.06</v>
      </c>
      <c r="G1148" s="4">
        <v>0</v>
      </c>
      <c r="H1148" s="8">
        <v>0</v>
      </c>
      <c r="I1148" s="4">
        <v>0</v>
      </c>
    </row>
    <row r="1149" spans="1:9" x14ac:dyDescent="0.2">
      <c r="A1149" s="1"/>
      <c r="C1149" s="4"/>
      <c r="D1149" s="8"/>
      <c r="E1149" s="4"/>
      <c r="F1149" s="8"/>
      <c r="G1149" s="4"/>
      <c r="H1149" s="8"/>
      <c r="I1149" s="4"/>
    </row>
    <row r="1150" spans="1:9" x14ac:dyDescent="0.2">
      <c r="A1150" s="1" t="s">
        <v>50</v>
      </c>
      <c r="C1150" s="4"/>
      <c r="D1150" s="8"/>
      <c r="E1150" s="4"/>
      <c r="F1150" s="8"/>
      <c r="G1150" s="4"/>
      <c r="H1150" s="8"/>
      <c r="I1150" s="4"/>
    </row>
    <row r="1151" spans="1:9" x14ac:dyDescent="0.2">
      <c r="A1151" s="2">
        <v>1</v>
      </c>
      <c r="B1151" s="1" t="s">
        <v>122</v>
      </c>
      <c r="C1151" s="4">
        <v>26</v>
      </c>
      <c r="D1151" s="8">
        <v>6.25</v>
      </c>
      <c r="E1151" s="4">
        <v>3</v>
      </c>
      <c r="F1151" s="8">
        <v>1.06</v>
      </c>
      <c r="G1151" s="4">
        <v>23</v>
      </c>
      <c r="H1151" s="8">
        <v>19.66</v>
      </c>
      <c r="I1151" s="4">
        <v>0</v>
      </c>
    </row>
    <row r="1152" spans="1:9" x14ac:dyDescent="0.2">
      <c r="A1152" s="2">
        <v>2</v>
      </c>
      <c r="B1152" s="1" t="s">
        <v>137</v>
      </c>
      <c r="C1152" s="4">
        <v>21</v>
      </c>
      <c r="D1152" s="8">
        <v>5.05</v>
      </c>
      <c r="E1152" s="4">
        <v>21</v>
      </c>
      <c r="F1152" s="8">
        <v>7.42</v>
      </c>
      <c r="G1152" s="4">
        <v>0</v>
      </c>
      <c r="H1152" s="8">
        <v>0</v>
      </c>
      <c r="I1152" s="4">
        <v>0</v>
      </c>
    </row>
    <row r="1153" spans="1:9" x14ac:dyDescent="0.2">
      <c r="A1153" s="2">
        <v>3</v>
      </c>
      <c r="B1153" s="1" t="s">
        <v>171</v>
      </c>
      <c r="C1153" s="4">
        <v>19</v>
      </c>
      <c r="D1153" s="8">
        <v>4.57</v>
      </c>
      <c r="E1153" s="4">
        <v>15</v>
      </c>
      <c r="F1153" s="8">
        <v>5.3</v>
      </c>
      <c r="G1153" s="4">
        <v>4</v>
      </c>
      <c r="H1153" s="8">
        <v>3.42</v>
      </c>
      <c r="I1153" s="4">
        <v>0</v>
      </c>
    </row>
    <row r="1154" spans="1:9" x14ac:dyDescent="0.2">
      <c r="A1154" s="2">
        <v>4</v>
      </c>
      <c r="B1154" s="1" t="s">
        <v>138</v>
      </c>
      <c r="C1154" s="4">
        <v>18</v>
      </c>
      <c r="D1154" s="8">
        <v>4.33</v>
      </c>
      <c r="E1154" s="4">
        <v>18</v>
      </c>
      <c r="F1154" s="8">
        <v>6.36</v>
      </c>
      <c r="G1154" s="4">
        <v>0</v>
      </c>
      <c r="H1154" s="8">
        <v>0</v>
      </c>
      <c r="I1154" s="4">
        <v>0</v>
      </c>
    </row>
    <row r="1155" spans="1:9" x14ac:dyDescent="0.2">
      <c r="A1155" s="2">
        <v>5</v>
      </c>
      <c r="B1155" s="1" t="s">
        <v>127</v>
      </c>
      <c r="C1155" s="4">
        <v>11</v>
      </c>
      <c r="D1155" s="8">
        <v>2.64</v>
      </c>
      <c r="E1155" s="4">
        <v>8</v>
      </c>
      <c r="F1155" s="8">
        <v>2.83</v>
      </c>
      <c r="G1155" s="4">
        <v>3</v>
      </c>
      <c r="H1155" s="8">
        <v>2.56</v>
      </c>
      <c r="I1155" s="4">
        <v>0</v>
      </c>
    </row>
    <row r="1156" spans="1:9" x14ac:dyDescent="0.2">
      <c r="A1156" s="2">
        <v>5</v>
      </c>
      <c r="B1156" s="1" t="s">
        <v>136</v>
      </c>
      <c r="C1156" s="4">
        <v>11</v>
      </c>
      <c r="D1156" s="8">
        <v>2.64</v>
      </c>
      <c r="E1156" s="4">
        <v>11</v>
      </c>
      <c r="F1156" s="8">
        <v>3.89</v>
      </c>
      <c r="G1156" s="4">
        <v>0</v>
      </c>
      <c r="H1156" s="8">
        <v>0</v>
      </c>
      <c r="I1156" s="4">
        <v>0</v>
      </c>
    </row>
    <row r="1157" spans="1:9" x14ac:dyDescent="0.2">
      <c r="A1157" s="2">
        <v>7</v>
      </c>
      <c r="B1157" s="1" t="s">
        <v>172</v>
      </c>
      <c r="C1157" s="4">
        <v>10</v>
      </c>
      <c r="D1157" s="8">
        <v>2.4</v>
      </c>
      <c r="E1157" s="4">
        <v>2</v>
      </c>
      <c r="F1157" s="8">
        <v>0.71</v>
      </c>
      <c r="G1157" s="4">
        <v>8</v>
      </c>
      <c r="H1157" s="8">
        <v>6.84</v>
      </c>
      <c r="I1157" s="4">
        <v>0</v>
      </c>
    </row>
    <row r="1158" spans="1:9" x14ac:dyDescent="0.2">
      <c r="A1158" s="2">
        <v>7</v>
      </c>
      <c r="B1158" s="1" t="s">
        <v>133</v>
      </c>
      <c r="C1158" s="4">
        <v>10</v>
      </c>
      <c r="D1158" s="8">
        <v>2.4</v>
      </c>
      <c r="E1158" s="4">
        <v>10</v>
      </c>
      <c r="F1158" s="8">
        <v>3.53</v>
      </c>
      <c r="G1158" s="4">
        <v>0</v>
      </c>
      <c r="H1158" s="8">
        <v>0</v>
      </c>
      <c r="I1158" s="4">
        <v>0</v>
      </c>
    </row>
    <row r="1159" spans="1:9" x14ac:dyDescent="0.2">
      <c r="A1159" s="2">
        <v>9</v>
      </c>
      <c r="B1159" s="1" t="s">
        <v>169</v>
      </c>
      <c r="C1159" s="4">
        <v>9</v>
      </c>
      <c r="D1159" s="8">
        <v>2.16</v>
      </c>
      <c r="E1159" s="4">
        <v>5</v>
      </c>
      <c r="F1159" s="8">
        <v>1.77</v>
      </c>
      <c r="G1159" s="4">
        <v>4</v>
      </c>
      <c r="H1159" s="8">
        <v>3.42</v>
      </c>
      <c r="I1159" s="4">
        <v>0</v>
      </c>
    </row>
    <row r="1160" spans="1:9" x14ac:dyDescent="0.2">
      <c r="A1160" s="2">
        <v>9</v>
      </c>
      <c r="B1160" s="1" t="s">
        <v>151</v>
      </c>
      <c r="C1160" s="4">
        <v>9</v>
      </c>
      <c r="D1160" s="8">
        <v>2.16</v>
      </c>
      <c r="E1160" s="4">
        <v>7</v>
      </c>
      <c r="F1160" s="8">
        <v>2.4700000000000002</v>
      </c>
      <c r="G1160" s="4">
        <v>2</v>
      </c>
      <c r="H1160" s="8">
        <v>1.71</v>
      </c>
      <c r="I1160" s="4">
        <v>0</v>
      </c>
    </row>
    <row r="1161" spans="1:9" x14ac:dyDescent="0.2">
      <c r="A1161" s="2">
        <v>9</v>
      </c>
      <c r="B1161" s="1" t="s">
        <v>141</v>
      </c>
      <c r="C1161" s="4">
        <v>9</v>
      </c>
      <c r="D1161" s="8">
        <v>2.16</v>
      </c>
      <c r="E1161" s="4">
        <v>7</v>
      </c>
      <c r="F1161" s="8">
        <v>2.4700000000000002</v>
      </c>
      <c r="G1161" s="4">
        <v>2</v>
      </c>
      <c r="H1161" s="8">
        <v>1.71</v>
      </c>
      <c r="I1161" s="4">
        <v>0</v>
      </c>
    </row>
    <row r="1162" spans="1:9" x14ac:dyDescent="0.2">
      <c r="A1162" s="2">
        <v>12</v>
      </c>
      <c r="B1162" s="1" t="s">
        <v>129</v>
      </c>
      <c r="C1162" s="4">
        <v>8</v>
      </c>
      <c r="D1162" s="8">
        <v>1.92</v>
      </c>
      <c r="E1162" s="4">
        <v>7</v>
      </c>
      <c r="F1162" s="8">
        <v>2.4700000000000002</v>
      </c>
      <c r="G1162" s="4">
        <v>1</v>
      </c>
      <c r="H1162" s="8">
        <v>0.85</v>
      </c>
      <c r="I1162" s="4">
        <v>0</v>
      </c>
    </row>
    <row r="1163" spans="1:9" x14ac:dyDescent="0.2">
      <c r="A1163" s="2">
        <v>13</v>
      </c>
      <c r="B1163" s="1" t="s">
        <v>123</v>
      </c>
      <c r="C1163" s="4">
        <v>7</v>
      </c>
      <c r="D1163" s="8">
        <v>1.68</v>
      </c>
      <c r="E1163" s="4">
        <v>3</v>
      </c>
      <c r="F1163" s="8">
        <v>1.06</v>
      </c>
      <c r="G1163" s="4">
        <v>4</v>
      </c>
      <c r="H1163" s="8">
        <v>3.42</v>
      </c>
      <c r="I1163" s="4">
        <v>0</v>
      </c>
    </row>
    <row r="1164" spans="1:9" x14ac:dyDescent="0.2">
      <c r="A1164" s="2">
        <v>13</v>
      </c>
      <c r="B1164" s="1" t="s">
        <v>124</v>
      </c>
      <c r="C1164" s="4">
        <v>7</v>
      </c>
      <c r="D1164" s="8">
        <v>1.68</v>
      </c>
      <c r="E1164" s="4">
        <v>5</v>
      </c>
      <c r="F1164" s="8">
        <v>1.77</v>
      </c>
      <c r="G1164" s="4">
        <v>2</v>
      </c>
      <c r="H1164" s="8">
        <v>1.71</v>
      </c>
      <c r="I1164" s="4">
        <v>0</v>
      </c>
    </row>
    <row r="1165" spans="1:9" x14ac:dyDescent="0.2">
      <c r="A1165" s="2">
        <v>13</v>
      </c>
      <c r="B1165" s="1" t="s">
        <v>126</v>
      </c>
      <c r="C1165" s="4">
        <v>7</v>
      </c>
      <c r="D1165" s="8">
        <v>1.68</v>
      </c>
      <c r="E1165" s="4">
        <v>5</v>
      </c>
      <c r="F1165" s="8">
        <v>1.77</v>
      </c>
      <c r="G1165" s="4">
        <v>2</v>
      </c>
      <c r="H1165" s="8">
        <v>1.71</v>
      </c>
      <c r="I1165" s="4">
        <v>0</v>
      </c>
    </row>
    <row r="1166" spans="1:9" x14ac:dyDescent="0.2">
      <c r="A1166" s="2">
        <v>13</v>
      </c>
      <c r="B1166" s="1" t="s">
        <v>132</v>
      </c>
      <c r="C1166" s="4">
        <v>7</v>
      </c>
      <c r="D1166" s="8">
        <v>1.68</v>
      </c>
      <c r="E1166" s="4">
        <v>5</v>
      </c>
      <c r="F1166" s="8">
        <v>1.77</v>
      </c>
      <c r="G1166" s="4">
        <v>2</v>
      </c>
      <c r="H1166" s="8">
        <v>1.71</v>
      </c>
      <c r="I1166" s="4">
        <v>0</v>
      </c>
    </row>
    <row r="1167" spans="1:9" x14ac:dyDescent="0.2">
      <c r="A1167" s="2">
        <v>13</v>
      </c>
      <c r="B1167" s="1" t="s">
        <v>134</v>
      </c>
      <c r="C1167" s="4">
        <v>7</v>
      </c>
      <c r="D1167" s="8">
        <v>1.68</v>
      </c>
      <c r="E1167" s="4">
        <v>7</v>
      </c>
      <c r="F1167" s="8">
        <v>2.4700000000000002</v>
      </c>
      <c r="G1167" s="4">
        <v>0</v>
      </c>
      <c r="H1167" s="8">
        <v>0</v>
      </c>
      <c r="I1167" s="4">
        <v>0</v>
      </c>
    </row>
    <row r="1168" spans="1:9" x14ac:dyDescent="0.2">
      <c r="A1168" s="2">
        <v>13</v>
      </c>
      <c r="B1168" s="1" t="s">
        <v>165</v>
      </c>
      <c r="C1168" s="4">
        <v>7</v>
      </c>
      <c r="D1168" s="8">
        <v>1.68</v>
      </c>
      <c r="E1168" s="4">
        <v>7</v>
      </c>
      <c r="F1168" s="8">
        <v>2.4700000000000002</v>
      </c>
      <c r="G1168" s="4">
        <v>0</v>
      </c>
      <c r="H1168" s="8">
        <v>0</v>
      </c>
      <c r="I1168" s="4">
        <v>0</v>
      </c>
    </row>
    <row r="1169" spans="1:9" x14ac:dyDescent="0.2">
      <c r="A1169" s="2">
        <v>19</v>
      </c>
      <c r="B1169" s="1" t="s">
        <v>190</v>
      </c>
      <c r="C1169" s="4">
        <v>6</v>
      </c>
      <c r="D1169" s="8">
        <v>1.44</v>
      </c>
      <c r="E1169" s="4">
        <v>4</v>
      </c>
      <c r="F1169" s="8">
        <v>1.41</v>
      </c>
      <c r="G1169" s="4">
        <v>2</v>
      </c>
      <c r="H1169" s="8">
        <v>1.71</v>
      </c>
      <c r="I1169" s="4">
        <v>0</v>
      </c>
    </row>
    <row r="1170" spans="1:9" x14ac:dyDescent="0.2">
      <c r="A1170" s="2">
        <v>19</v>
      </c>
      <c r="B1170" s="1" t="s">
        <v>194</v>
      </c>
      <c r="C1170" s="4">
        <v>6</v>
      </c>
      <c r="D1170" s="8">
        <v>1.44</v>
      </c>
      <c r="E1170" s="4">
        <v>4</v>
      </c>
      <c r="F1170" s="8">
        <v>1.41</v>
      </c>
      <c r="G1170" s="4">
        <v>2</v>
      </c>
      <c r="H1170" s="8">
        <v>1.71</v>
      </c>
      <c r="I1170" s="4">
        <v>0</v>
      </c>
    </row>
    <row r="1171" spans="1:9" x14ac:dyDescent="0.2">
      <c r="A1171" s="2">
        <v>19</v>
      </c>
      <c r="B1171" s="1" t="s">
        <v>211</v>
      </c>
      <c r="C1171" s="4">
        <v>6</v>
      </c>
      <c r="D1171" s="8">
        <v>1.44</v>
      </c>
      <c r="E1171" s="4">
        <v>3</v>
      </c>
      <c r="F1171" s="8">
        <v>1.06</v>
      </c>
      <c r="G1171" s="4">
        <v>3</v>
      </c>
      <c r="H1171" s="8">
        <v>2.56</v>
      </c>
      <c r="I1171" s="4">
        <v>0</v>
      </c>
    </row>
    <row r="1172" spans="1:9" x14ac:dyDescent="0.2">
      <c r="A1172" s="2">
        <v>19</v>
      </c>
      <c r="B1172" s="1" t="s">
        <v>128</v>
      </c>
      <c r="C1172" s="4">
        <v>6</v>
      </c>
      <c r="D1172" s="8">
        <v>1.44</v>
      </c>
      <c r="E1172" s="4">
        <v>6</v>
      </c>
      <c r="F1172" s="8">
        <v>2.12</v>
      </c>
      <c r="G1172" s="4">
        <v>0</v>
      </c>
      <c r="H1172" s="8">
        <v>0</v>
      </c>
      <c r="I1172" s="4">
        <v>0</v>
      </c>
    </row>
    <row r="1173" spans="1:9" x14ac:dyDescent="0.2">
      <c r="A1173" s="2">
        <v>19</v>
      </c>
      <c r="B1173" s="1" t="s">
        <v>135</v>
      </c>
      <c r="C1173" s="4">
        <v>6</v>
      </c>
      <c r="D1173" s="8">
        <v>1.44</v>
      </c>
      <c r="E1173" s="4">
        <v>6</v>
      </c>
      <c r="F1173" s="8">
        <v>2.12</v>
      </c>
      <c r="G1173" s="4">
        <v>0</v>
      </c>
      <c r="H1173" s="8">
        <v>0</v>
      </c>
      <c r="I1173" s="4">
        <v>0</v>
      </c>
    </row>
    <row r="1174" spans="1:9" x14ac:dyDescent="0.2">
      <c r="A1174" s="1"/>
      <c r="C1174" s="4"/>
      <c r="D1174" s="8"/>
      <c r="E1174" s="4"/>
      <c r="F1174" s="8"/>
      <c r="G1174" s="4"/>
      <c r="H1174" s="8"/>
      <c r="I117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EB14F-E9DB-4323-927D-F91AC3EC4B8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253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156</v>
      </c>
      <c r="D6" s="8">
        <v>12.96</v>
      </c>
      <c r="E6" s="12">
        <v>80</v>
      </c>
      <c r="F6" s="8">
        <v>10.029999999999999</v>
      </c>
      <c r="G6" s="12">
        <v>76</v>
      </c>
      <c r="H6" s="8">
        <v>19.489999999999998</v>
      </c>
      <c r="I6" s="12">
        <v>0</v>
      </c>
    </row>
    <row r="7" spans="2:9" ht="15" customHeight="1" x14ac:dyDescent="0.2">
      <c r="B7" t="s">
        <v>53</v>
      </c>
      <c r="C7" s="12">
        <v>160</v>
      </c>
      <c r="D7" s="8">
        <v>13.29</v>
      </c>
      <c r="E7" s="12">
        <v>94</v>
      </c>
      <c r="F7" s="8">
        <v>11.78</v>
      </c>
      <c r="G7" s="12">
        <v>66</v>
      </c>
      <c r="H7" s="8">
        <v>16.920000000000002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0.17</v>
      </c>
      <c r="E8" s="12">
        <v>0</v>
      </c>
      <c r="F8" s="8">
        <v>0</v>
      </c>
      <c r="G8" s="12">
        <v>2</v>
      </c>
      <c r="H8" s="8">
        <v>0.51</v>
      </c>
      <c r="I8" s="12">
        <v>0</v>
      </c>
    </row>
    <row r="9" spans="2:9" ht="15" customHeight="1" x14ac:dyDescent="0.2">
      <c r="B9" t="s">
        <v>55</v>
      </c>
      <c r="C9" s="12">
        <v>5</v>
      </c>
      <c r="D9" s="8">
        <v>0.42</v>
      </c>
      <c r="E9" s="12">
        <v>1</v>
      </c>
      <c r="F9" s="8">
        <v>0.13</v>
      </c>
      <c r="G9" s="12">
        <v>4</v>
      </c>
      <c r="H9" s="8">
        <v>1.03</v>
      </c>
      <c r="I9" s="12">
        <v>0</v>
      </c>
    </row>
    <row r="10" spans="2:9" ht="15" customHeight="1" x14ac:dyDescent="0.2">
      <c r="B10" t="s">
        <v>56</v>
      </c>
      <c r="C10" s="12">
        <v>11</v>
      </c>
      <c r="D10" s="8">
        <v>0.91</v>
      </c>
      <c r="E10" s="12">
        <v>2</v>
      </c>
      <c r="F10" s="8">
        <v>0.25</v>
      </c>
      <c r="G10" s="12">
        <v>9</v>
      </c>
      <c r="H10" s="8">
        <v>2.31</v>
      </c>
      <c r="I10" s="12">
        <v>0</v>
      </c>
    </row>
    <row r="11" spans="2:9" ht="15" customHeight="1" x14ac:dyDescent="0.2">
      <c r="B11" t="s">
        <v>57</v>
      </c>
      <c r="C11" s="12">
        <v>358</v>
      </c>
      <c r="D11" s="8">
        <v>29.73</v>
      </c>
      <c r="E11" s="12">
        <v>248</v>
      </c>
      <c r="F11" s="8">
        <v>31.08</v>
      </c>
      <c r="G11" s="12">
        <v>110</v>
      </c>
      <c r="H11" s="8">
        <v>28.21</v>
      </c>
      <c r="I11" s="12">
        <v>0</v>
      </c>
    </row>
    <row r="12" spans="2:9" ht="15" customHeight="1" x14ac:dyDescent="0.2">
      <c r="B12" t="s">
        <v>58</v>
      </c>
      <c r="C12" s="12">
        <v>3</v>
      </c>
      <c r="D12" s="8">
        <v>0.25</v>
      </c>
      <c r="E12" s="12">
        <v>2</v>
      </c>
      <c r="F12" s="8">
        <v>0.25</v>
      </c>
      <c r="G12" s="12">
        <v>1</v>
      </c>
      <c r="H12" s="8">
        <v>0.26</v>
      </c>
      <c r="I12" s="12">
        <v>0</v>
      </c>
    </row>
    <row r="13" spans="2:9" ht="15" customHeight="1" x14ac:dyDescent="0.2">
      <c r="B13" t="s">
        <v>59</v>
      </c>
      <c r="C13" s="12">
        <v>49</v>
      </c>
      <c r="D13" s="8">
        <v>4.07</v>
      </c>
      <c r="E13" s="12">
        <v>18</v>
      </c>
      <c r="F13" s="8">
        <v>2.2599999999999998</v>
      </c>
      <c r="G13" s="12">
        <v>31</v>
      </c>
      <c r="H13" s="8">
        <v>7.95</v>
      </c>
      <c r="I13" s="12">
        <v>0</v>
      </c>
    </row>
    <row r="14" spans="2:9" ht="15" customHeight="1" x14ac:dyDescent="0.2">
      <c r="B14" t="s">
        <v>60</v>
      </c>
      <c r="C14" s="12">
        <v>37</v>
      </c>
      <c r="D14" s="8">
        <v>3.07</v>
      </c>
      <c r="E14" s="12">
        <v>20</v>
      </c>
      <c r="F14" s="8">
        <v>2.5099999999999998</v>
      </c>
      <c r="G14" s="12">
        <v>17</v>
      </c>
      <c r="H14" s="8">
        <v>4.3600000000000003</v>
      </c>
      <c r="I14" s="12">
        <v>0</v>
      </c>
    </row>
    <row r="15" spans="2:9" ht="15" customHeight="1" x14ac:dyDescent="0.2">
      <c r="B15" t="s">
        <v>61</v>
      </c>
      <c r="C15" s="12">
        <v>167</v>
      </c>
      <c r="D15" s="8">
        <v>13.87</v>
      </c>
      <c r="E15" s="12">
        <v>149</v>
      </c>
      <c r="F15" s="8">
        <v>18.670000000000002</v>
      </c>
      <c r="G15" s="12">
        <v>18</v>
      </c>
      <c r="H15" s="8">
        <v>4.62</v>
      </c>
      <c r="I15" s="12">
        <v>0</v>
      </c>
    </row>
    <row r="16" spans="2:9" ht="15" customHeight="1" x14ac:dyDescent="0.2">
      <c r="B16" t="s">
        <v>62</v>
      </c>
      <c r="C16" s="12">
        <v>128</v>
      </c>
      <c r="D16" s="8">
        <v>10.63</v>
      </c>
      <c r="E16" s="12">
        <v>110</v>
      </c>
      <c r="F16" s="8">
        <v>13.78</v>
      </c>
      <c r="G16" s="12">
        <v>17</v>
      </c>
      <c r="H16" s="8">
        <v>4.3600000000000003</v>
      </c>
      <c r="I16" s="12">
        <v>0</v>
      </c>
    </row>
    <row r="17" spans="2:9" ht="15" customHeight="1" x14ac:dyDescent="0.2">
      <c r="B17" t="s">
        <v>63</v>
      </c>
      <c r="C17" s="12">
        <v>42</v>
      </c>
      <c r="D17" s="8">
        <v>3.49</v>
      </c>
      <c r="E17" s="12">
        <v>24</v>
      </c>
      <c r="F17" s="8">
        <v>3.01</v>
      </c>
      <c r="G17" s="12">
        <v>3</v>
      </c>
      <c r="H17" s="8">
        <v>0.77</v>
      </c>
      <c r="I17" s="12">
        <v>0</v>
      </c>
    </row>
    <row r="18" spans="2:9" ht="15" customHeight="1" x14ac:dyDescent="0.2">
      <c r="B18" t="s">
        <v>64</v>
      </c>
      <c r="C18" s="12">
        <v>50</v>
      </c>
      <c r="D18" s="8">
        <v>4.1500000000000004</v>
      </c>
      <c r="E18" s="12">
        <v>33</v>
      </c>
      <c r="F18" s="8">
        <v>4.1399999999999997</v>
      </c>
      <c r="G18" s="12">
        <v>17</v>
      </c>
      <c r="H18" s="8">
        <v>4.3600000000000003</v>
      </c>
      <c r="I18" s="12">
        <v>0</v>
      </c>
    </row>
    <row r="19" spans="2:9" ht="15" customHeight="1" x14ac:dyDescent="0.2">
      <c r="B19" t="s">
        <v>65</v>
      </c>
      <c r="C19" s="12">
        <v>36</v>
      </c>
      <c r="D19" s="8">
        <v>2.99</v>
      </c>
      <c r="E19" s="12">
        <v>17</v>
      </c>
      <c r="F19" s="8">
        <v>2.13</v>
      </c>
      <c r="G19" s="12">
        <v>19</v>
      </c>
      <c r="H19" s="8">
        <v>4.87</v>
      </c>
      <c r="I19" s="12">
        <v>0</v>
      </c>
    </row>
    <row r="20" spans="2:9" ht="15" customHeight="1" x14ac:dyDescent="0.2">
      <c r="B20" s="9" t="s">
        <v>215</v>
      </c>
      <c r="C20" s="12">
        <f>SUM(LTBL_28226[総数／事業所数])</f>
        <v>1204</v>
      </c>
      <c r="E20" s="12">
        <f>SUBTOTAL(109,LTBL_28226[個人／事業所数])</f>
        <v>798</v>
      </c>
      <c r="G20" s="12">
        <f>SUBTOTAL(109,LTBL_28226[法人／事業所数])</f>
        <v>390</v>
      </c>
      <c r="I20" s="12">
        <f>SUBTOTAL(109,LTBL_28226[法人以外の団体／事業所数])</f>
        <v>0</v>
      </c>
    </row>
    <row r="21" spans="2:9" ht="15" customHeight="1" x14ac:dyDescent="0.2">
      <c r="E21" s="11">
        <f>LTBL_28226[[#Totals],[個人／事業所数]]/LTBL_28226[[#Totals],[総数／事業所数]]</f>
        <v>0.66279069767441856</v>
      </c>
      <c r="G21" s="11">
        <f>LTBL_28226[[#Totals],[法人／事業所数]]/LTBL_28226[[#Totals],[総数／事業所数]]</f>
        <v>0.32392026578073091</v>
      </c>
      <c r="I21" s="11">
        <f>LTBL_28226[[#Totals],[法人以外の団体／事業所数]]/LTBL_28226[[#Totals],[総数／事業所数]]</f>
        <v>0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134</v>
      </c>
      <c r="D24" s="8">
        <v>11.13</v>
      </c>
      <c r="E24" s="12">
        <v>124</v>
      </c>
      <c r="F24" s="8">
        <v>15.54</v>
      </c>
      <c r="G24" s="12">
        <v>10</v>
      </c>
      <c r="H24" s="8">
        <v>2.56</v>
      </c>
      <c r="I24" s="12">
        <v>0</v>
      </c>
    </row>
    <row r="25" spans="2:9" ht="15" customHeight="1" x14ac:dyDescent="0.2">
      <c r="B25" t="s">
        <v>83</v>
      </c>
      <c r="C25" s="12">
        <v>112</v>
      </c>
      <c r="D25" s="8">
        <v>9.3000000000000007</v>
      </c>
      <c r="E25" s="12">
        <v>67</v>
      </c>
      <c r="F25" s="8">
        <v>8.4</v>
      </c>
      <c r="G25" s="12">
        <v>45</v>
      </c>
      <c r="H25" s="8">
        <v>11.54</v>
      </c>
      <c r="I25" s="12">
        <v>0</v>
      </c>
    </row>
    <row r="26" spans="2:9" ht="15" customHeight="1" x14ac:dyDescent="0.2">
      <c r="B26" t="s">
        <v>89</v>
      </c>
      <c r="C26" s="12">
        <v>111</v>
      </c>
      <c r="D26" s="8">
        <v>9.2200000000000006</v>
      </c>
      <c r="E26" s="12">
        <v>104</v>
      </c>
      <c r="F26" s="8">
        <v>13.03</v>
      </c>
      <c r="G26" s="12">
        <v>7</v>
      </c>
      <c r="H26" s="8">
        <v>1.79</v>
      </c>
      <c r="I26" s="12">
        <v>0</v>
      </c>
    </row>
    <row r="27" spans="2:9" ht="15" customHeight="1" x14ac:dyDescent="0.2">
      <c r="B27" t="s">
        <v>81</v>
      </c>
      <c r="C27" s="12">
        <v>103</v>
      </c>
      <c r="D27" s="8">
        <v>8.5500000000000007</v>
      </c>
      <c r="E27" s="12">
        <v>90</v>
      </c>
      <c r="F27" s="8">
        <v>11.28</v>
      </c>
      <c r="G27" s="12">
        <v>13</v>
      </c>
      <c r="H27" s="8">
        <v>3.33</v>
      </c>
      <c r="I27" s="12">
        <v>0</v>
      </c>
    </row>
    <row r="28" spans="2:9" ht="15" customHeight="1" x14ac:dyDescent="0.2">
      <c r="B28" t="s">
        <v>74</v>
      </c>
      <c r="C28" s="12">
        <v>88</v>
      </c>
      <c r="D28" s="8">
        <v>7.31</v>
      </c>
      <c r="E28" s="12">
        <v>32</v>
      </c>
      <c r="F28" s="8">
        <v>4.01</v>
      </c>
      <c r="G28" s="12">
        <v>56</v>
      </c>
      <c r="H28" s="8">
        <v>14.36</v>
      </c>
      <c r="I28" s="12">
        <v>0</v>
      </c>
    </row>
    <row r="29" spans="2:9" ht="15" customHeight="1" x14ac:dyDescent="0.2">
      <c r="B29" t="s">
        <v>108</v>
      </c>
      <c r="C29" s="12">
        <v>63</v>
      </c>
      <c r="D29" s="8">
        <v>5.23</v>
      </c>
      <c r="E29" s="12">
        <v>49</v>
      </c>
      <c r="F29" s="8">
        <v>6.14</v>
      </c>
      <c r="G29" s="12">
        <v>14</v>
      </c>
      <c r="H29" s="8">
        <v>3.59</v>
      </c>
      <c r="I29" s="12">
        <v>0</v>
      </c>
    </row>
    <row r="30" spans="2:9" ht="15" customHeight="1" x14ac:dyDescent="0.2">
      <c r="B30" t="s">
        <v>82</v>
      </c>
      <c r="C30" s="12">
        <v>50</v>
      </c>
      <c r="D30" s="8">
        <v>4.1500000000000004</v>
      </c>
      <c r="E30" s="12">
        <v>38</v>
      </c>
      <c r="F30" s="8">
        <v>4.76</v>
      </c>
      <c r="G30" s="12">
        <v>12</v>
      </c>
      <c r="H30" s="8">
        <v>3.08</v>
      </c>
      <c r="I30" s="12">
        <v>0</v>
      </c>
    </row>
    <row r="31" spans="2:9" ht="15" customHeight="1" x14ac:dyDescent="0.2">
      <c r="B31" t="s">
        <v>75</v>
      </c>
      <c r="C31" s="12">
        <v>44</v>
      </c>
      <c r="D31" s="8">
        <v>3.65</v>
      </c>
      <c r="E31" s="12">
        <v>33</v>
      </c>
      <c r="F31" s="8">
        <v>4.1399999999999997</v>
      </c>
      <c r="G31" s="12">
        <v>11</v>
      </c>
      <c r="H31" s="8">
        <v>2.82</v>
      </c>
      <c r="I31" s="12">
        <v>0</v>
      </c>
    </row>
    <row r="32" spans="2:9" ht="15" customHeight="1" x14ac:dyDescent="0.2">
      <c r="B32" t="s">
        <v>91</v>
      </c>
      <c r="C32" s="12">
        <v>42</v>
      </c>
      <c r="D32" s="8">
        <v>3.49</v>
      </c>
      <c r="E32" s="12">
        <v>24</v>
      </c>
      <c r="F32" s="8">
        <v>3.01</v>
      </c>
      <c r="G32" s="12">
        <v>3</v>
      </c>
      <c r="H32" s="8">
        <v>0.77</v>
      </c>
      <c r="I32" s="12">
        <v>0</v>
      </c>
    </row>
    <row r="33" spans="2:9" ht="15" customHeight="1" x14ac:dyDescent="0.2">
      <c r="B33" t="s">
        <v>92</v>
      </c>
      <c r="C33" s="12">
        <v>36</v>
      </c>
      <c r="D33" s="8">
        <v>2.99</v>
      </c>
      <c r="E33" s="12">
        <v>33</v>
      </c>
      <c r="F33" s="8">
        <v>4.1399999999999997</v>
      </c>
      <c r="G33" s="12">
        <v>3</v>
      </c>
      <c r="H33" s="8">
        <v>0.77</v>
      </c>
      <c r="I33" s="12">
        <v>0</v>
      </c>
    </row>
    <row r="34" spans="2:9" ht="15" customHeight="1" x14ac:dyDescent="0.2">
      <c r="B34" t="s">
        <v>80</v>
      </c>
      <c r="C34" s="12">
        <v>33</v>
      </c>
      <c r="D34" s="8">
        <v>2.74</v>
      </c>
      <c r="E34" s="12">
        <v>23</v>
      </c>
      <c r="F34" s="8">
        <v>2.88</v>
      </c>
      <c r="G34" s="12">
        <v>10</v>
      </c>
      <c r="H34" s="8">
        <v>2.56</v>
      </c>
      <c r="I34" s="12">
        <v>0</v>
      </c>
    </row>
    <row r="35" spans="2:9" ht="15" customHeight="1" x14ac:dyDescent="0.2">
      <c r="B35" t="s">
        <v>85</v>
      </c>
      <c r="C35" s="12">
        <v>33</v>
      </c>
      <c r="D35" s="8">
        <v>2.74</v>
      </c>
      <c r="E35" s="12">
        <v>11</v>
      </c>
      <c r="F35" s="8">
        <v>1.38</v>
      </c>
      <c r="G35" s="12">
        <v>22</v>
      </c>
      <c r="H35" s="8">
        <v>5.64</v>
      </c>
      <c r="I35" s="12">
        <v>0</v>
      </c>
    </row>
    <row r="36" spans="2:9" ht="15" customHeight="1" x14ac:dyDescent="0.2">
      <c r="B36" t="s">
        <v>111</v>
      </c>
      <c r="C36" s="12">
        <v>28</v>
      </c>
      <c r="D36" s="8">
        <v>2.33</v>
      </c>
      <c r="E36" s="12">
        <v>14</v>
      </c>
      <c r="F36" s="8">
        <v>1.75</v>
      </c>
      <c r="G36" s="12">
        <v>14</v>
      </c>
      <c r="H36" s="8">
        <v>3.59</v>
      </c>
      <c r="I36" s="12">
        <v>0</v>
      </c>
    </row>
    <row r="37" spans="2:9" ht="15" customHeight="1" x14ac:dyDescent="0.2">
      <c r="B37" t="s">
        <v>76</v>
      </c>
      <c r="C37" s="12">
        <v>24</v>
      </c>
      <c r="D37" s="8">
        <v>1.99</v>
      </c>
      <c r="E37" s="12">
        <v>15</v>
      </c>
      <c r="F37" s="8">
        <v>1.88</v>
      </c>
      <c r="G37" s="12">
        <v>9</v>
      </c>
      <c r="H37" s="8">
        <v>2.31</v>
      </c>
      <c r="I37" s="12">
        <v>0</v>
      </c>
    </row>
    <row r="38" spans="2:9" ht="15" customHeight="1" x14ac:dyDescent="0.2">
      <c r="B38" t="s">
        <v>105</v>
      </c>
      <c r="C38" s="12">
        <v>23</v>
      </c>
      <c r="D38" s="8">
        <v>1.91</v>
      </c>
      <c r="E38" s="12">
        <v>21</v>
      </c>
      <c r="F38" s="8">
        <v>2.63</v>
      </c>
      <c r="G38" s="12">
        <v>2</v>
      </c>
      <c r="H38" s="8">
        <v>0.51</v>
      </c>
      <c r="I38" s="12">
        <v>0</v>
      </c>
    </row>
    <row r="39" spans="2:9" ht="15" customHeight="1" x14ac:dyDescent="0.2">
      <c r="B39" t="s">
        <v>95</v>
      </c>
      <c r="C39" s="12">
        <v>21</v>
      </c>
      <c r="D39" s="8">
        <v>1.74</v>
      </c>
      <c r="E39" s="12">
        <v>12</v>
      </c>
      <c r="F39" s="8">
        <v>1.5</v>
      </c>
      <c r="G39" s="12">
        <v>9</v>
      </c>
      <c r="H39" s="8">
        <v>2.31</v>
      </c>
      <c r="I39" s="12">
        <v>0</v>
      </c>
    </row>
    <row r="40" spans="2:9" ht="15" customHeight="1" x14ac:dyDescent="0.2">
      <c r="B40" t="s">
        <v>87</v>
      </c>
      <c r="C40" s="12">
        <v>21</v>
      </c>
      <c r="D40" s="8">
        <v>1.74</v>
      </c>
      <c r="E40" s="12">
        <v>9</v>
      </c>
      <c r="F40" s="8">
        <v>1.1299999999999999</v>
      </c>
      <c r="G40" s="12">
        <v>12</v>
      </c>
      <c r="H40" s="8">
        <v>3.08</v>
      </c>
      <c r="I40" s="12">
        <v>0</v>
      </c>
    </row>
    <row r="41" spans="2:9" ht="15" customHeight="1" x14ac:dyDescent="0.2">
      <c r="B41" t="s">
        <v>86</v>
      </c>
      <c r="C41" s="12">
        <v>15</v>
      </c>
      <c r="D41" s="8">
        <v>1.25</v>
      </c>
      <c r="E41" s="12">
        <v>11</v>
      </c>
      <c r="F41" s="8">
        <v>1.38</v>
      </c>
      <c r="G41" s="12">
        <v>4</v>
      </c>
      <c r="H41" s="8">
        <v>1.03</v>
      </c>
      <c r="I41" s="12">
        <v>0</v>
      </c>
    </row>
    <row r="42" spans="2:9" ht="15" customHeight="1" x14ac:dyDescent="0.2">
      <c r="B42" t="s">
        <v>93</v>
      </c>
      <c r="C42" s="12">
        <v>14</v>
      </c>
      <c r="D42" s="8">
        <v>1.1599999999999999</v>
      </c>
      <c r="E42" s="12">
        <v>0</v>
      </c>
      <c r="F42" s="8">
        <v>0</v>
      </c>
      <c r="G42" s="12">
        <v>14</v>
      </c>
      <c r="H42" s="8">
        <v>3.59</v>
      </c>
      <c r="I42" s="12">
        <v>0</v>
      </c>
    </row>
    <row r="43" spans="2:9" ht="15" customHeight="1" x14ac:dyDescent="0.2">
      <c r="B43" t="s">
        <v>104</v>
      </c>
      <c r="C43" s="12">
        <v>14</v>
      </c>
      <c r="D43" s="8">
        <v>1.1599999999999999</v>
      </c>
      <c r="E43" s="12">
        <v>11</v>
      </c>
      <c r="F43" s="8">
        <v>1.38</v>
      </c>
      <c r="G43" s="12">
        <v>3</v>
      </c>
      <c r="H43" s="8">
        <v>0.77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122</v>
      </c>
      <c r="C47" s="12">
        <v>55</v>
      </c>
      <c r="D47" s="8">
        <v>4.57</v>
      </c>
      <c r="E47" s="12">
        <v>12</v>
      </c>
      <c r="F47" s="8">
        <v>1.5</v>
      </c>
      <c r="G47" s="12">
        <v>43</v>
      </c>
      <c r="H47" s="8">
        <v>11.03</v>
      </c>
      <c r="I47" s="12">
        <v>0</v>
      </c>
    </row>
    <row r="48" spans="2:9" ht="15" customHeight="1" x14ac:dyDescent="0.2">
      <c r="B48" t="s">
        <v>194</v>
      </c>
      <c r="C48" s="12">
        <v>51</v>
      </c>
      <c r="D48" s="8">
        <v>4.24</v>
      </c>
      <c r="E48" s="12">
        <v>44</v>
      </c>
      <c r="F48" s="8">
        <v>5.51</v>
      </c>
      <c r="G48" s="12">
        <v>7</v>
      </c>
      <c r="H48" s="8">
        <v>1.79</v>
      </c>
      <c r="I48" s="12">
        <v>0</v>
      </c>
    </row>
    <row r="49" spans="2:9" ht="15" customHeight="1" x14ac:dyDescent="0.2">
      <c r="B49" t="s">
        <v>138</v>
      </c>
      <c r="C49" s="12">
        <v>50</v>
      </c>
      <c r="D49" s="8">
        <v>4.1500000000000004</v>
      </c>
      <c r="E49" s="12">
        <v>47</v>
      </c>
      <c r="F49" s="8">
        <v>5.89</v>
      </c>
      <c r="G49" s="12">
        <v>3</v>
      </c>
      <c r="H49" s="8">
        <v>0.77</v>
      </c>
      <c r="I49" s="12">
        <v>0</v>
      </c>
    </row>
    <row r="50" spans="2:9" ht="15" customHeight="1" x14ac:dyDescent="0.2">
      <c r="B50" t="s">
        <v>136</v>
      </c>
      <c r="C50" s="12">
        <v>45</v>
      </c>
      <c r="D50" s="8">
        <v>3.74</v>
      </c>
      <c r="E50" s="12">
        <v>43</v>
      </c>
      <c r="F50" s="8">
        <v>5.39</v>
      </c>
      <c r="G50" s="12">
        <v>2</v>
      </c>
      <c r="H50" s="8">
        <v>0.51</v>
      </c>
      <c r="I50" s="12">
        <v>0</v>
      </c>
    </row>
    <row r="51" spans="2:9" ht="15" customHeight="1" x14ac:dyDescent="0.2">
      <c r="B51" t="s">
        <v>129</v>
      </c>
      <c r="C51" s="12">
        <v>39</v>
      </c>
      <c r="D51" s="8">
        <v>3.24</v>
      </c>
      <c r="E51" s="12">
        <v>30</v>
      </c>
      <c r="F51" s="8">
        <v>3.76</v>
      </c>
      <c r="G51" s="12">
        <v>9</v>
      </c>
      <c r="H51" s="8">
        <v>2.31</v>
      </c>
      <c r="I51" s="12">
        <v>0</v>
      </c>
    </row>
    <row r="52" spans="2:9" ht="15" customHeight="1" x14ac:dyDescent="0.2">
      <c r="B52" t="s">
        <v>137</v>
      </c>
      <c r="C52" s="12">
        <v>38</v>
      </c>
      <c r="D52" s="8">
        <v>3.16</v>
      </c>
      <c r="E52" s="12">
        <v>38</v>
      </c>
      <c r="F52" s="8">
        <v>4.76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126</v>
      </c>
      <c r="C53" s="12">
        <v>32</v>
      </c>
      <c r="D53" s="8">
        <v>2.66</v>
      </c>
      <c r="E53" s="12">
        <v>29</v>
      </c>
      <c r="F53" s="8">
        <v>3.63</v>
      </c>
      <c r="G53" s="12">
        <v>3</v>
      </c>
      <c r="H53" s="8">
        <v>0.77</v>
      </c>
      <c r="I53" s="12">
        <v>0</v>
      </c>
    </row>
    <row r="54" spans="2:9" ht="15" customHeight="1" x14ac:dyDescent="0.2">
      <c r="B54" t="s">
        <v>133</v>
      </c>
      <c r="C54" s="12">
        <v>32</v>
      </c>
      <c r="D54" s="8">
        <v>2.66</v>
      </c>
      <c r="E54" s="12">
        <v>28</v>
      </c>
      <c r="F54" s="8">
        <v>3.51</v>
      </c>
      <c r="G54" s="12">
        <v>4</v>
      </c>
      <c r="H54" s="8">
        <v>1.03</v>
      </c>
      <c r="I54" s="12">
        <v>0</v>
      </c>
    </row>
    <row r="55" spans="2:9" ht="15" customHeight="1" x14ac:dyDescent="0.2">
      <c r="B55" t="s">
        <v>127</v>
      </c>
      <c r="C55" s="12">
        <v>30</v>
      </c>
      <c r="D55" s="8">
        <v>2.4900000000000002</v>
      </c>
      <c r="E55" s="12">
        <v>24</v>
      </c>
      <c r="F55" s="8">
        <v>3.01</v>
      </c>
      <c r="G55" s="12">
        <v>6</v>
      </c>
      <c r="H55" s="8">
        <v>1.54</v>
      </c>
      <c r="I55" s="12">
        <v>0</v>
      </c>
    </row>
    <row r="56" spans="2:9" ht="15" customHeight="1" x14ac:dyDescent="0.2">
      <c r="B56" t="s">
        <v>154</v>
      </c>
      <c r="C56" s="12">
        <v>27</v>
      </c>
      <c r="D56" s="8">
        <v>2.2400000000000002</v>
      </c>
      <c r="E56" s="12">
        <v>24</v>
      </c>
      <c r="F56" s="8">
        <v>3.01</v>
      </c>
      <c r="G56" s="12">
        <v>3</v>
      </c>
      <c r="H56" s="8">
        <v>0.77</v>
      </c>
      <c r="I56" s="12">
        <v>0</v>
      </c>
    </row>
    <row r="57" spans="2:9" ht="15" customHeight="1" x14ac:dyDescent="0.2">
      <c r="B57" t="s">
        <v>195</v>
      </c>
      <c r="C57" s="12">
        <v>25</v>
      </c>
      <c r="D57" s="8">
        <v>2.08</v>
      </c>
      <c r="E57" s="12">
        <v>14</v>
      </c>
      <c r="F57" s="8">
        <v>1.75</v>
      </c>
      <c r="G57" s="12">
        <v>11</v>
      </c>
      <c r="H57" s="8">
        <v>2.82</v>
      </c>
      <c r="I57" s="12">
        <v>0</v>
      </c>
    </row>
    <row r="58" spans="2:9" ht="15" customHeight="1" x14ac:dyDescent="0.2">
      <c r="B58" t="s">
        <v>151</v>
      </c>
      <c r="C58" s="12">
        <v>22</v>
      </c>
      <c r="D58" s="8">
        <v>1.83</v>
      </c>
      <c r="E58" s="12">
        <v>18</v>
      </c>
      <c r="F58" s="8">
        <v>2.2599999999999998</v>
      </c>
      <c r="G58" s="12">
        <v>4</v>
      </c>
      <c r="H58" s="8">
        <v>1.03</v>
      </c>
      <c r="I58" s="12">
        <v>0</v>
      </c>
    </row>
    <row r="59" spans="2:9" ht="15" customHeight="1" x14ac:dyDescent="0.2">
      <c r="B59" t="s">
        <v>171</v>
      </c>
      <c r="C59" s="12">
        <v>22</v>
      </c>
      <c r="D59" s="8">
        <v>1.83</v>
      </c>
      <c r="E59" s="12">
        <v>20</v>
      </c>
      <c r="F59" s="8">
        <v>2.5099999999999998</v>
      </c>
      <c r="G59" s="12">
        <v>2</v>
      </c>
      <c r="H59" s="8">
        <v>0.51</v>
      </c>
      <c r="I59" s="12">
        <v>0</v>
      </c>
    </row>
    <row r="60" spans="2:9" ht="15" customHeight="1" x14ac:dyDescent="0.2">
      <c r="B60" t="s">
        <v>145</v>
      </c>
      <c r="C60" s="12">
        <v>22</v>
      </c>
      <c r="D60" s="8">
        <v>1.83</v>
      </c>
      <c r="E60" s="12">
        <v>21</v>
      </c>
      <c r="F60" s="8">
        <v>2.63</v>
      </c>
      <c r="G60" s="12">
        <v>1</v>
      </c>
      <c r="H60" s="8">
        <v>0.26</v>
      </c>
      <c r="I60" s="12">
        <v>0</v>
      </c>
    </row>
    <row r="61" spans="2:9" ht="15" customHeight="1" x14ac:dyDescent="0.2">
      <c r="B61" t="s">
        <v>141</v>
      </c>
      <c r="C61" s="12">
        <v>21</v>
      </c>
      <c r="D61" s="8">
        <v>1.74</v>
      </c>
      <c r="E61" s="12">
        <v>20</v>
      </c>
      <c r="F61" s="8">
        <v>2.5099999999999998</v>
      </c>
      <c r="G61" s="12">
        <v>1</v>
      </c>
      <c r="H61" s="8">
        <v>0.26</v>
      </c>
      <c r="I61" s="12">
        <v>0</v>
      </c>
    </row>
    <row r="62" spans="2:9" ht="15" customHeight="1" x14ac:dyDescent="0.2">
      <c r="B62" t="s">
        <v>132</v>
      </c>
      <c r="C62" s="12">
        <v>20</v>
      </c>
      <c r="D62" s="8">
        <v>1.66</v>
      </c>
      <c r="E62" s="12">
        <v>7</v>
      </c>
      <c r="F62" s="8">
        <v>0.88</v>
      </c>
      <c r="G62" s="12">
        <v>13</v>
      </c>
      <c r="H62" s="8">
        <v>3.33</v>
      </c>
      <c r="I62" s="12">
        <v>0</v>
      </c>
    </row>
    <row r="63" spans="2:9" ht="15" customHeight="1" x14ac:dyDescent="0.2">
      <c r="B63" t="s">
        <v>146</v>
      </c>
      <c r="C63" s="12">
        <v>19</v>
      </c>
      <c r="D63" s="8">
        <v>1.58</v>
      </c>
      <c r="E63" s="12">
        <v>16</v>
      </c>
      <c r="F63" s="8">
        <v>2.0099999999999998</v>
      </c>
      <c r="G63" s="12">
        <v>3</v>
      </c>
      <c r="H63" s="8">
        <v>0.77</v>
      </c>
      <c r="I63" s="12">
        <v>0</v>
      </c>
    </row>
    <row r="64" spans="2:9" ht="15" customHeight="1" x14ac:dyDescent="0.2">
      <c r="B64" t="s">
        <v>176</v>
      </c>
      <c r="C64" s="12">
        <v>17</v>
      </c>
      <c r="D64" s="8">
        <v>1.41</v>
      </c>
      <c r="E64" s="12">
        <v>11</v>
      </c>
      <c r="F64" s="8">
        <v>1.38</v>
      </c>
      <c r="G64" s="12">
        <v>6</v>
      </c>
      <c r="H64" s="8">
        <v>1.54</v>
      </c>
      <c r="I64" s="12">
        <v>0</v>
      </c>
    </row>
    <row r="65" spans="2:9" ht="15" customHeight="1" x14ac:dyDescent="0.2">
      <c r="B65" t="s">
        <v>128</v>
      </c>
      <c r="C65" s="12">
        <v>17</v>
      </c>
      <c r="D65" s="8">
        <v>1.41</v>
      </c>
      <c r="E65" s="12">
        <v>2</v>
      </c>
      <c r="F65" s="8">
        <v>0.25</v>
      </c>
      <c r="G65" s="12">
        <v>15</v>
      </c>
      <c r="H65" s="8">
        <v>3.85</v>
      </c>
      <c r="I65" s="12">
        <v>0</v>
      </c>
    </row>
    <row r="66" spans="2:9" ht="15" customHeight="1" x14ac:dyDescent="0.2">
      <c r="B66" t="s">
        <v>140</v>
      </c>
      <c r="C66" s="12">
        <v>16</v>
      </c>
      <c r="D66" s="8">
        <v>1.33</v>
      </c>
      <c r="E66" s="12">
        <v>15</v>
      </c>
      <c r="F66" s="8">
        <v>1.88</v>
      </c>
      <c r="G66" s="12">
        <v>1</v>
      </c>
      <c r="H66" s="8">
        <v>0.26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0133-C730-4A50-AF73-ADF30AB0A7EE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254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304</v>
      </c>
      <c r="D6" s="8">
        <v>21.61</v>
      </c>
      <c r="E6" s="12">
        <v>173</v>
      </c>
      <c r="F6" s="8">
        <v>17.78</v>
      </c>
      <c r="G6" s="12">
        <v>131</v>
      </c>
      <c r="H6" s="8">
        <v>30.61</v>
      </c>
      <c r="I6" s="12">
        <v>0</v>
      </c>
    </row>
    <row r="7" spans="2:9" ht="15" customHeight="1" x14ac:dyDescent="0.2">
      <c r="B7" t="s">
        <v>53</v>
      </c>
      <c r="C7" s="12">
        <v>362</v>
      </c>
      <c r="D7" s="8">
        <v>25.73</v>
      </c>
      <c r="E7" s="12">
        <v>254</v>
      </c>
      <c r="F7" s="8">
        <v>26.1</v>
      </c>
      <c r="G7" s="12">
        <v>107</v>
      </c>
      <c r="H7" s="8">
        <v>25</v>
      </c>
      <c r="I7" s="12">
        <v>1</v>
      </c>
    </row>
    <row r="8" spans="2:9" ht="15" customHeight="1" x14ac:dyDescent="0.2">
      <c r="B8" t="s">
        <v>54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0.23</v>
      </c>
      <c r="I8" s="12">
        <v>0</v>
      </c>
    </row>
    <row r="9" spans="2:9" ht="15" customHeight="1" x14ac:dyDescent="0.2">
      <c r="B9" t="s">
        <v>55</v>
      </c>
      <c r="C9" s="12">
        <v>4</v>
      </c>
      <c r="D9" s="8">
        <v>0.28000000000000003</v>
      </c>
      <c r="E9" s="12">
        <v>1</v>
      </c>
      <c r="F9" s="8">
        <v>0.1</v>
      </c>
      <c r="G9" s="12">
        <v>3</v>
      </c>
      <c r="H9" s="8">
        <v>0.7</v>
      </c>
      <c r="I9" s="12">
        <v>0</v>
      </c>
    </row>
    <row r="10" spans="2:9" ht="15" customHeight="1" x14ac:dyDescent="0.2">
      <c r="B10" t="s">
        <v>56</v>
      </c>
      <c r="C10" s="12">
        <v>10</v>
      </c>
      <c r="D10" s="8">
        <v>0.71</v>
      </c>
      <c r="E10" s="12">
        <v>5</v>
      </c>
      <c r="F10" s="8">
        <v>0.51</v>
      </c>
      <c r="G10" s="12">
        <v>5</v>
      </c>
      <c r="H10" s="8">
        <v>1.17</v>
      </c>
      <c r="I10" s="12">
        <v>0</v>
      </c>
    </row>
    <row r="11" spans="2:9" ht="15" customHeight="1" x14ac:dyDescent="0.2">
      <c r="B11" t="s">
        <v>57</v>
      </c>
      <c r="C11" s="12">
        <v>275</v>
      </c>
      <c r="D11" s="8">
        <v>19.55</v>
      </c>
      <c r="E11" s="12">
        <v>179</v>
      </c>
      <c r="F11" s="8">
        <v>18.399999999999999</v>
      </c>
      <c r="G11" s="12">
        <v>96</v>
      </c>
      <c r="H11" s="8">
        <v>22.43</v>
      </c>
      <c r="I11" s="12">
        <v>0</v>
      </c>
    </row>
    <row r="12" spans="2:9" ht="15" customHeight="1" x14ac:dyDescent="0.2">
      <c r="B12" t="s">
        <v>58</v>
      </c>
      <c r="C12" s="12">
        <v>7</v>
      </c>
      <c r="D12" s="8">
        <v>0.5</v>
      </c>
      <c r="E12" s="12">
        <v>1</v>
      </c>
      <c r="F12" s="8">
        <v>0.1</v>
      </c>
      <c r="G12" s="12">
        <v>6</v>
      </c>
      <c r="H12" s="8">
        <v>1.4</v>
      </c>
      <c r="I12" s="12">
        <v>0</v>
      </c>
    </row>
    <row r="13" spans="2:9" ht="15" customHeight="1" x14ac:dyDescent="0.2">
      <c r="B13" t="s">
        <v>59</v>
      </c>
      <c r="C13" s="12">
        <v>27</v>
      </c>
      <c r="D13" s="8">
        <v>1.92</v>
      </c>
      <c r="E13" s="12">
        <v>15</v>
      </c>
      <c r="F13" s="8">
        <v>1.54</v>
      </c>
      <c r="G13" s="12">
        <v>12</v>
      </c>
      <c r="H13" s="8">
        <v>2.8</v>
      </c>
      <c r="I13" s="12">
        <v>0</v>
      </c>
    </row>
    <row r="14" spans="2:9" ht="15" customHeight="1" x14ac:dyDescent="0.2">
      <c r="B14" t="s">
        <v>60</v>
      </c>
      <c r="C14" s="12">
        <v>45</v>
      </c>
      <c r="D14" s="8">
        <v>3.2</v>
      </c>
      <c r="E14" s="12">
        <v>29</v>
      </c>
      <c r="F14" s="8">
        <v>2.98</v>
      </c>
      <c r="G14" s="12">
        <v>16</v>
      </c>
      <c r="H14" s="8">
        <v>3.74</v>
      </c>
      <c r="I14" s="12">
        <v>0</v>
      </c>
    </row>
    <row r="15" spans="2:9" ht="15" customHeight="1" x14ac:dyDescent="0.2">
      <c r="B15" t="s">
        <v>61</v>
      </c>
      <c r="C15" s="12">
        <v>97</v>
      </c>
      <c r="D15" s="8">
        <v>6.89</v>
      </c>
      <c r="E15" s="12">
        <v>87</v>
      </c>
      <c r="F15" s="8">
        <v>8.94</v>
      </c>
      <c r="G15" s="12">
        <v>10</v>
      </c>
      <c r="H15" s="8">
        <v>2.34</v>
      </c>
      <c r="I15" s="12">
        <v>0</v>
      </c>
    </row>
    <row r="16" spans="2:9" ht="15" customHeight="1" x14ac:dyDescent="0.2">
      <c r="B16" t="s">
        <v>62</v>
      </c>
      <c r="C16" s="12">
        <v>140</v>
      </c>
      <c r="D16" s="8">
        <v>9.9499999999999993</v>
      </c>
      <c r="E16" s="12">
        <v>127</v>
      </c>
      <c r="F16" s="8">
        <v>13.05</v>
      </c>
      <c r="G16" s="12">
        <v>12</v>
      </c>
      <c r="H16" s="8">
        <v>2.8</v>
      </c>
      <c r="I16" s="12">
        <v>0</v>
      </c>
    </row>
    <row r="17" spans="2:9" ht="15" customHeight="1" x14ac:dyDescent="0.2">
      <c r="B17" t="s">
        <v>63</v>
      </c>
      <c r="C17" s="12">
        <v>53</v>
      </c>
      <c r="D17" s="8">
        <v>3.77</v>
      </c>
      <c r="E17" s="12">
        <v>47</v>
      </c>
      <c r="F17" s="8">
        <v>4.83</v>
      </c>
      <c r="G17" s="12">
        <v>3</v>
      </c>
      <c r="H17" s="8">
        <v>0.7</v>
      </c>
      <c r="I17" s="12">
        <v>0</v>
      </c>
    </row>
    <row r="18" spans="2:9" ht="15" customHeight="1" x14ac:dyDescent="0.2">
      <c r="B18" t="s">
        <v>64</v>
      </c>
      <c r="C18" s="12">
        <v>42</v>
      </c>
      <c r="D18" s="8">
        <v>2.99</v>
      </c>
      <c r="E18" s="12">
        <v>32</v>
      </c>
      <c r="F18" s="8">
        <v>3.29</v>
      </c>
      <c r="G18" s="12">
        <v>9</v>
      </c>
      <c r="H18" s="8">
        <v>2.1</v>
      </c>
      <c r="I18" s="12">
        <v>0</v>
      </c>
    </row>
    <row r="19" spans="2:9" ht="15" customHeight="1" x14ac:dyDescent="0.2">
      <c r="B19" t="s">
        <v>65</v>
      </c>
      <c r="C19" s="12">
        <v>40</v>
      </c>
      <c r="D19" s="8">
        <v>2.84</v>
      </c>
      <c r="E19" s="12">
        <v>23</v>
      </c>
      <c r="F19" s="8">
        <v>2.36</v>
      </c>
      <c r="G19" s="12">
        <v>17</v>
      </c>
      <c r="H19" s="8">
        <v>3.97</v>
      </c>
      <c r="I19" s="12">
        <v>0</v>
      </c>
    </row>
    <row r="20" spans="2:9" ht="15" customHeight="1" x14ac:dyDescent="0.2">
      <c r="B20" s="9" t="s">
        <v>215</v>
      </c>
      <c r="C20" s="12">
        <f>SUM(LTBL_28227[総数／事業所数])</f>
        <v>1407</v>
      </c>
      <c r="E20" s="12">
        <f>SUBTOTAL(109,LTBL_28227[個人／事業所数])</f>
        <v>973</v>
      </c>
      <c r="G20" s="12">
        <f>SUBTOTAL(109,LTBL_28227[法人／事業所数])</f>
        <v>428</v>
      </c>
      <c r="I20" s="12">
        <f>SUBTOTAL(109,LTBL_28227[法人以外の団体／事業所数])</f>
        <v>1</v>
      </c>
    </row>
    <row r="21" spans="2:9" ht="15" customHeight="1" x14ac:dyDescent="0.2">
      <c r="E21" s="11">
        <f>LTBL_28227[[#Totals],[個人／事業所数]]/LTBL_28227[[#Totals],[総数／事業所数]]</f>
        <v>0.69154228855721389</v>
      </c>
      <c r="G21" s="11">
        <f>LTBL_28227[[#Totals],[法人／事業所数]]/LTBL_28227[[#Totals],[総数／事業所数]]</f>
        <v>0.30419331911869224</v>
      </c>
      <c r="I21" s="11">
        <f>LTBL_28227[[#Totals],[法人以外の団体／事業所数]]/LTBL_28227[[#Totals],[総数／事業所数]]</f>
        <v>7.1073205401563609E-4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108</v>
      </c>
      <c r="C24" s="12">
        <v>232</v>
      </c>
      <c r="D24" s="8">
        <v>16.489999999999998</v>
      </c>
      <c r="E24" s="12">
        <v>182</v>
      </c>
      <c r="F24" s="8">
        <v>18.71</v>
      </c>
      <c r="G24" s="12">
        <v>49</v>
      </c>
      <c r="H24" s="8">
        <v>11.45</v>
      </c>
      <c r="I24" s="12">
        <v>1</v>
      </c>
    </row>
    <row r="25" spans="2:9" ht="15" customHeight="1" x14ac:dyDescent="0.2">
      <c r="B25" t="s">
        <v>74</v>
      </c>
      <c r="C25" s="12">
        <v>153</v>
      </c>
      <c r="D25" s="8">
        <v>10.87</v>
      </c>
      <c r="E25" s="12">
        <v>70</v>
      </c>
      <c r="F25" s="8">
        <v>7.19</v>
      </c>
      <c r="G25" s="12">
        <v>83</v>
      </c>
      <c r="H25" s="8">
        <v>19.39</v>
      </c>
      <c r="I25" s="12">
        <v>0</v>
      </c>
    </row>
    <row r="26" spans="2:9" ht="15" customHeight="1" x14ac:dyDescent="0.2">
      <c r="B26" t="s">
        <v>89</v>
      </c>
      <c r="C26" s="12">
        <v>121</v>
      </c>
      <c r="D26" s="8">
        <v>8.6</v>
      </c>
      <c r="E26" s="12">
        <v>115</v>
      </c>
      <c r="F26" s="8">
        <v>11.82</v>
      </c>
      <c r="G26" s="12">
        <v>6</v>
      </c>
      <c r="H26" s="8">
        <v>1.4</v>
      </c>
      <c r="I26" s="12">
        <v>0</v>
      </c>
    </row>
    <row r="27" spans="2:9" ht="15" customHeight="1" x14ac:dyDescent="0.2">
      <c r="B27" t="s">
        <v>83</v>
      </c>
      <c r="C27" s="12">
        <v>97</v>
      </c>
      <c r="D27" s="8">
        <v>6.89</v>
      </c>
      <c r="E27" s="12">
        <v>61</v>
      </c>
      <c r="F27" s="8">
        <v>6.27</v>
      </c>
      <c r="G27" s="12">
        <v>36</v>
      </c>
      <c r="H27" s="8">
        <v>8.41</v>
      </c>
      <c r="I27" s="12">
        <v>0</v>
      </c>
    </row>
    <row r="28" spans="2:9" ht="15" customHeight="1" x14ac:dyDescent="0.2">
      <c r="B28" t="s">
        <v>75</v>
      </c>
      <c r="C28" s="12">
        <v>88</v>
      </c>
      <c r="D28" s="8">
        <v>6.25</v>
      </c>
      <c r="E28" s="12">
        <v>69</v>
      </c>
      <c r="F28" s="8">
        <v>7.09</v>
      </c>
      <c r="G28" s="12">
        <v>19</v>
      </c>
      <c r="H28" s="8">
        <v>4.4400000000000004</v>
      </c>
      <c r="I28" s="12">
        <v>0</v>
      </c>
    </row>
    <row r="29" spans="2:9" ht="15" customHeight="1" x14ac:dyDescent="0.2">
      <c r="B29" t="s">
        <v>88</v>
      </c>
      <c r="C29" s="12">
        <v>83</v>
      </c>
      <c r="D29" s="8">
        <v>5.9</v>
      </c>
      <c r="E29" s="12">
        <v>77</v>
      </c>
      <c r="F29" s="8">
        <v>7.91</v>
      </c>
      <c r="G29" s="12">
        <v>6</v>
      </c>
      <c r="H29" s="8">
        <v>1.4</v>
      </c>
      <c r="I29" s="12">
        <v>0</v>
      </c>
    </row>
    <row r="30" spans="2:9" ht="15" customHeight="1" x14ac:dyDescent="0.2">
      <c r="B30" t="s">
        <v>76</v>
      </c>
      <c r="C30" s="12">
        <v>63</v>
      </c>
      <c r="D30" s="8">
        <v>4.4800000000000004</v>
      </c>
      <c r="E30" s="12">
        <v>34</v>
      </c>
      <c r="F30" s="8">
        <v>3.49</v>
      </c>
      <c r="G30" s="12">
        <v>29</v>
      </c>
      <c r="H30" s="8">
        <v>6.78</v>
      </c>
      <c r="I30" s="12">
        <v>0</v>
      </c>
    </row>
    <row r="31" spans="2:9" ht="15" customHeight="1" x14ac:dyDescent="0.2">
      <c r="B31" t="s">
        <v>81</v>
      </c>
      <c r="C31" s="12">
        <v>54</v>
      </c>
      <c r="D31" s="8">
        <v>3.84</v>
      </c>
      <c r="E31" s="12">
        <v>51</v>
      </c>
      <c r="F31" s="8">
        <v>5.24</v>
      </c>
      <c r="G31" s="12">
        <v>3</v>
      </c>
      <c r="H31" s="8">
        <v>0.7</v>
      </c>
      <c r="I31" s="12">
        <v>0</v>
      </c>
    </row>
    <row r="32" spans="2:9" ht="15" customHeight="1" x14ac:dyDescent="0.2">
      <c r="B32" t="s">
        <v>91</v>
      </c>
      <c r="C32" s="12">
        <v>53</v>
      </c>
      <c r="D32" s="8">
        <v>3.77</v>
      </c>
      <c r="E32" s="12">
        <v>47</v>
      </c>
      <c r="F32" s="8">
        <v>4.83</v>
      </c>
      <c r="G32" s="12">
        <v>3</v>
      </c>
      <c r="H32" s="8">
        <v>0.7</v>
      </c>
      <c r="I32" s="12">
        <v>0</v>
      </c>
    </row>
    <row r="33" spans="2:9" ht="15" customHeight="1" x14ac:dyDescent="0.2">
      <c r="B33" t="s">
        <v>80</v>
      </c>
      <c r="C33" s="12">
        <v>38</v>
      </c>
      <c r="D33" s="8">
        <v>2.7</v>
      </c>
      <c r="E33" s="12">
        <v>20</v>
      </c>
      <c r="F33" s="8">
        <v>2.06</v>
      </c>
      <c r="G33" s="12">
        <v>18</v>
      </c>
      <c r="H33" s="8">
        <v>4.21</v>
      </c>
      <c r="I33" s="12">
        <v>0</v>
      </c>
    </row>
    <row r="34" spans="2:9" ht="15" customHeight="1" x14ac:dyDescent="0.2">
      <c r="B34" t="s">
        <v>82</v>
      </c>
      <c r="C34" s="12">
        <v>38</v>
      </c>
      <c r="D34" s="8">
        <v>2.7</v>
      </c>
      <c r="E34" s="12">
        <v>28</v>
      </c>
      <c r="F34" s="8">
        <v>2.88</v>
      </c>
      <c r="G34" s="12">
        <v>10</v>
      </c>
      <c r="H34" s="8">
        <v>2.34</v>
      </c>
      <c r="I34" s="12">
        <v>0</v>
      </c>
    </row>
    <row r="35" spans="2:9" ht="15" customHeight="1" x14ac:dyDescent="0.2">
      <c r="B35" t="s">
        <v>92</v>
      </c>
      <c r="C35" s="12">
        <v>34</v>
      </c>
      <c r="D35" s="8">
        <v>2.42</v>
      </c>
      <c r="E35" s="12">
        <v>32</v>
      </c>
      <c r="F35" s="8">
        <v>3.29</v>
      </c>
      <c r="G35" s="12">
        <v>2</v>
      </c>
      <c r="H35" s="8">
        <v>0.47</v>
      </c>
      <c r="I35" s="12">
        <v>0</v>
      </c>
    </row>
    <row r="36" spans="2:9" ht="15" customHeight="1" x14ac:dyDescent="0.2">
      <c r="B36" t="s">
        <v>85</v>
      </c>
      <c r="C36" s="12">
        <v>22</v>
      </c>
      <c r="D36" s="8">
        <v>1.56</v>
      </c>
      <c r="E36" s="12">
        <v>14</v>
      </c>
      <c r="F36" s="8">
        <v>1.44</v>
      </c>
      <c r="G36" s="12">
        <v>8</v>
      </c>
      <c r="H36" s="8">
        <v>1.87</v>
      </c>
      <c r="I36" s="12">
        <v>0</v>
      </c>
    </row>
    <row r="37" spans="2:9" ht="15" customHeight="1" x14ac:dyDescent="0.2">
      <c r="B37" t="s">
        <v>86</v>
      </c>
      <c r="C37" s="12">
        <v>22</v>
      </c>
      <c r="D37" s="8">
        <v>1.56</v>
      </c>
      <c r="E37" s="12">
        <v>17</v>
      </c>
      <c r="F37" s="8">
        <v>1.75</v>
      </c>
      <c r="G37" s="12">
        <v>5</v>
      </c>
      <c r="H37" s="8">
        <v>1.17</v>
      </c>
      <c r="I37" s="12">
        <v>0</v>
      </c>
    </row>
    <row r="38" spans="2:9" ht="15" customHeight="1" x14ac:dyDescent="0.2">
      <c r="B38" t="s">
        <v>87</v>
      </c>
      <c r="C38" s="12">
        <v>22</v>
      </c>
      <c r="D38" s="8">
        <v>1.56</v>
      </c>
      <c r="E38" s="12">
        <v>12</v>
      </c>
      <c r="F38" s="8">
        <v>1.23</v>
      </c>
      <c r="G38" s="12">
        <v>10</v>
      </c>
      <c r="H38" s="8">
        <v>2.34</v>
      </c>
      <c r="I38" s="12">
        <v>0</v>
      </c>
    </row>
    <row r="39" spans="2:9" ht="15" customHeight="1" x14ac:dyDescent="0.2">
      <c r="B39" t="s">
        <v>112</v>
      </c>
      <c r="C39" s="12">
        <v>20</v>
      </c>
      <c r="D39" s="8">
        <v>1.42</v>
      </c>
      <c r="E39" s="12">
        <v>8</v>
      </c>
      <c r="F39" s="8">
        <v>0.82</v>
      </c>
      <c r="G39" s="12">
        <v>12</v>
      </c>
      <c r="H39" s="8">
        <v>2.8</v>
      </c>
      <c r="I39" s="12">
        <v>0</v>
      </c>
    </row>
    <row r="40" spans="2:9" ht="15" customHeight="1" x14ac:dyDescent="0.2">
      <c r="B40" t="s">
        <v>117</v>
      </c>
      <c r="C40" s="12">
        <v>20</v>
      </c>
      <c r="D40" s="8">
        <v>1.42</v>
      </c>
      <c r="E40" s="12">
        <v>12</v>
      </c>
      <c r="F40" s="8">
        <v>1.23</v>
      </c>
      <c r="G40" s="12">
        <v>8</v>
      </c>
      <c r="H40" s="8">
        <v>1.87</v>
      </c>
      <c r="I40" s="12">
        <v>0</v>
      </c>
    </row>
    <row r="41" spans="2:9" ht="15" customHeight="1" x14ac:dyDescent="0.2">
      <c r="B41" t="s">
        <v>97</v>
      </c>
      <c r="C41" s="12">
        <v>16</v>
      </c>
      <c r="D41" s="8">
        <v>1.1399999999999999</v>
      </c>
      <c r="E41" s="12">
        <v>7</v>
      </c>
      <c r="F41" s="8">
        <v>0.72</v>
      </c>
      <c r="G41" s="12">
        <v>9</v>
      </c>
      <c r="H41" s="8">
        <v>2.1</v>
      </c>
      <c r="I41" s="12">
        <v>0</v>
      </c>
    </row>
    <row r="42" spans="2:9" ht="15" customHeight="1" x14ac:dyDescent="0.2">
      <c r="B42" t="s">
        <v>110</v>
      </c>
      <c r="C42" s="12">
        <v>14</v>
      </c>
      <c r="D42" s="8">
        <v>1</v>
      </c>
      <c r="E42" s="12">
        <v>7</v>
      </c>
      <c r="F42" s="8">
        <v>0.72</v>
      </c>
      <c r="G42" s="12">
        <v>7</v>
      </c>
      <c r="H42" s="8">
        <v>1.64</v>
      </c>
      <c r="I42" s="12">
        <v>0</v>
      </c>
    </row>
    <row r="43" spans="2:9" ht="15" customHeight="1" x14ac:dyDescent="0.2">
      <c r="B43" t="s">
        <v>90</v>
      </c>
      <c r="C43" s="12">
        <v>14</v>
      </c>
      <c r="D43" s="8">
        <v>1</v>
      </c>
      <c r="E43" s="12">
        <v>9</v>
      </c>
      <c r="F43" s="8">
        <v>0.92</v>
      </c>
      <c r="G43" s="12">
        <v>5</v>
      </c>
      <c r="H43" s="8">
        <v>1.17</v>
      </c>
      <c r="I43" s="12">
        <v>0</v>
      </c>
    </row>
    <row r="44" spans="2:9" ht="15" customHeight="1" x14ac:dyDescent="0.2">
      <c r="B44" t="s">
        <v>104</v>
      </c>
      <c r="C44" s="12">
        <v>14</v>
      </c>
      <c r="D44" s="8">
        <v>1</v>
      </c>
      <c r="E44" s="12">
        <v>11</v>
      </c>
      <c r="F44" s="8">
        <v>1.1299999999999999</v>
      </c>
      <c r="G44" s="12">
        <v>3</v>
      </c>
      <c r="H44" s="8">
        <v>0.7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191</v>
      </c>
      <c r="C48" s="12">
        <v>226</v>
      </c>
      <c r="D48" s="8">
        <v>16.059999999999999</v>
      </c>
      <c r="E48" s="12">
        <v>178</v>
      </c>
      <c r="F48" s="8">
        <v>18.29</v>
      </c>
      <c r="G48" s="12">
        <v>48</v>
      </c>
      <c r="H48" s="8">
        <v>11.21</v>
      </c>
      <c r="I48" s="12">
        <v>0</v>
      </c>
    </row>
    <row r="49" spans="2:9" ht="15" customHeight="1" x14ac:dyDescent="0.2">
      <c r="B49" t="s">
        <v>122</v>
      </c>
      <c r="C49" s="12">
        <v>69</v>
      </c>
      <c r="D49" s="8">
        <v>4.9000000000000004</v>
      </c>
      <c r="E49" s="12">
        <v>25</v>
      </c>
      <c r="F49" s="8">
        <v>2.57</v>
      </c>
      <c r="G49" s="12">
        <v>44</v>
      </c>
      <c r="H49" s="8">
        <v>10.28</v>
      </c>
      <c r="I49" s="12">
        <v>0</v>
      </c>
    </row>
    <row r="50" spans="2:9" ht="15" customHeight="1" x14ac:dyDescent="0.2">
      <c r="B50" t="s">
        <v>138</v>
      </c>
      <c r="C50" s="12">
        <v>68</v>
      </c>
      <c r="D50" s="8">
        <v>4.83</v>
      </c>
      <c r="E50" s="12">
        <v>66</v>
      </c>
      <c r="F50" s="8">
        <v>6.78</v>
      </c>
      <c r="G50" s="12">
        <v>2</v>
      </c>
      <c r="H50" s="8">
        <v>0.47</v>
      </c>
      <c r="I50" s="12">
        <v>0</v>
      </c>
    </row>
    <row r="51" spans="2:9" ht="15" customHeight="1" x14ac:dyDescent="0.2">
      <c r="B51" t="s">
        <v>169</v>
      </c>
      <c r="C51" s="12">
        <v>48</v>
      </c>
      <c r="D51" s="8">
        <v>3.41</v>
      </c>
      <c r="E51" s="12">
        <v>33</v>
      </c>
      <c r="F51" s="8">
        <v>3.39</v>
      </c>
      <c r="G51" s="12">
        <v>15</v>
      </c>
      <c r="H51" s="8">
        <v>3.5</v>
      </c>
      <c r="I51" s="12">
        <v>0</v>
      </c>
    </row>
    <row r="52" spans="2:9" ht="15" customHeight="1" x14ac:dyDescent="0.2">
      <c r="B52" t="s">
        <v>137</v>
      </c>
      <c r="C52" s="12">
        <v>38</v>
      </c>
      <c r="D52" s="8">
        <v>2.7</v>
      </c>
      <c r="E52" s="12">
        <v>38</v>
      </c>
      <c r="F52" s="8">
        <v>3.91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140</v>
      </c>
      <c r="C53" s="12">
        <v>36</v>
      </c>
      <c r="D53" s="8">
        <v>2.56</v>
      </c>
      <c r="E53" s="12">
        <v>34</v>
      </c>
      <c r="F53" s="8">
        <v>3.49</v>
      </c>
      <c r="G53" s="12">
        <v>2</v>
      </c>
      <c r="H53" s="8">
        <v>0.47</v>
      </c>
      <c r="I53" s="12">
        <v>0</v>
      </c>
    </row>
    <row r="54" spans="2:9" ht="15" customHeight="1" x14ac:dyDescent="0.2">
      <c r="B54" t="s">
        <v>124</v>
      </c>
      <c r="C54" s="12">
        <v>35</v>
      </c>
      <c r="D54" s="8">
        <v>2.4900000000000002</v>
      </c>
      <c r="E54" s="12">
        <v>25</v>
      </c>
      <c r="F54" s="8">
        <v>2.57</v>
      </c>
      <c r="G54" s="12">
        <v>10</v>
      </c>
      <c r="H54" s="8">
        <v>2.34</v>
      </c>
      <c r="I54" s="12">
        <v>0</v>
      </c>
    </row>
    <row r="55" spans="2:9" ht="15" customHeight="1" x14ac:dyDescent="0.2">
      <c r="B55" t="s">
        <v>136</v>
      </c>
      <c r="C55" s="12">
        <v>28</v>
      </c>
      <c r="D55" s="8">
        <v>1.99</v>
      </c>
      <c r="E55" s="12">
        <v>28</v>
      </c>
      <c r="F55" s="8">
        <v>2.88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127</v>
      </c>
      <c r="C56" s="12">
        <v>26</v>
      </c>
      <c r="D56" s="8">
        <v>1.85</v>
      </c>
      <c r="E56" s="12">
        <v>20</v>
      </c>
      <c r="F56" s="8">
        <v>2.06</v>
      </c>
      <c r="G56" s="12">
        <v>6</v>
      </c>
      <c r="H56" s="8">
        <v>1.4</v>
      </c>
      <c r="I56" s="12">
        <v>0</v>
      </c>
    </row>
    <row r="57" spans="2:9" ht="15" customHeight="1" x14ac:dyDescent="0.2">
      <c r="B57" t="s">
        <v>129</v>
      </c>
      <c r="C57" s="12">
        <v>25</v>
      </c>
      <c r="D57" s="8">
        <v>1.78</v>
      </c>
      <c r="E57" s="12">
        <v>17</v>
      </c>
      <c r="F57" s="8">
        <v>1.75</v>
      </c>
      <c r="G57" s="12">
        <v>8</v>
      </c>
      <c r="H57" s="8">
        <v>1.87</v>
      </c>
      <c r="I57" s="12">
        <v>0</v>
      </c>
    </row>
    <row r="58" spans="2:9" ht="15" customHeight="1" x14ac:dyDescent="0.2">
      <c r="B58" t="s">
        <v>185</v>
      </c>
      <c r="C58" s="12">
        <v>23</v>
      </c>
      <c r="D58" s="8">
        <v>1.63</v>
      </c>
      <c r="E58" s="12">
        <v>18</v>
      </c>
      <c r="F58" s="8">
        <v>1.85</v>
      </c>
      <c r="G58" s="12">
        <v>5</v>
      </c>
      <c r="H58" s="8">
        <v>1.17</v>
      </c>
      <c r="I58" s="12">
        <v>0</v>
      </c>
    </row>
    <row r="59" spans="2:9" ht="15" customHeight="1" x14ac:dyDescent="0.2">
      <c r="B59" t="s">
        <v>141</v>
      </c>
      <c r="C59" s="12">
        <v>22</v>
      </c>
      <c r="D59" s="8">
        <v>1.56</v>
      </c>
      <c r="E59" s="12">
        <v>22</v>
      </c>
      <c r="F59" s="8">
        <v>2.2599999999999998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123</v>
      </c>
      <c r="C60" s="12">
        <v>21</v>
      </c>
      <c r="D60" s="8">
        <v>1.49</v>
      </c>
      <c r="E60" s="12">
        <v>8</v>
      </c>
      <c r="F60" s="8">
        <v>0.82</v>
      </c>
      <c r="G60" s="12">
        <v>13</v>
      </c>
      <c r="H60" s="8">
        <v>3.04</v>
      </c>
      <c r="I60" s="12">
        <v>0</v>
      </c>
    </row>
    <row r="61" spans="2:9" ht="15" customHeight="1" x14ac:dyDescent="0.2">
      <c r="B61" t="s">
        <v>159</v>
      </c>
      <c r="C61" s="12">
        <v>20</v>
      </c>
      <c r="D61" s="8">
        <v>1.42</v>
      </c>
      <c r="E61" s="12">
        <v>7</v>
      </c>
      <c r="F61" s="8">
        <v>0.72</v>
      </c>
      <c r="G61" s="12">
        <v>13</v>
      </c>
      <c r="H61" s="8">
        <v>3.04</v>
      </c>
      <c r="I61" s="12">
        <v>0</v>
      </c>
    </row>
    <row r="62" spans="2:9" ht="15" customHeight="1" x14ac:dyDescent="0.2">
      <c r="B62" t="s">
        <v>190</v>
      </c>
      <c r="C62" s="12">
        <v>19</v>
      </c>
      <c r="D62" s="8">
        <v>1.35</v>
      </c>
      <c r="E62" s="12">
        <v>17</v>
      </c>
      <c r="F62" s="8">
        <v>1.75</v>
      </c>
      <c r="G62" s="12">
        <v>2</v>
      </c>
      <c r="H62" s="8">
        <v>0.47</v>
      </c>
      <c r="I62" s="12">
        <v>0</v>
      </c>
    </row>
    <row r="63" spans="2:9" ht="15" customHeight="1" x14ac:dyDescent="0.2">
      <c r="B63" t="s">
        <v>125</v>
      </c>
      <c r="C63" s="12">
        <v>17</v>
      </c>
      <c r="D63" s="8">
        <v>1.21</v>
      </c>
      <c r="E63" s="12">
        <v>9</v>
      </c>
      <c r="F63" s="8">
        <v>0.92</v>
      </c>
      <c r="G63" s="12">
        <v>8</v>
      </c>
      <c r="H63" s="8">
        <v>1.87</v>
      </c>
      <c r="I63" s="12">
        <v>0</v>
      </c>
    </row>
    <row r="64" spans="2:9" ht="15" customHeight="1" x14ac:dyDescent="0.2">
      <c r="B64" t="s">
        <v>128</v>
      </c>
      <c r="C64" s="12">
        <v>17</v>
      </c>
      <c r="D64" s="8">
        <v>1.21</v>
      </c>
      <c r="E64" s="12">
        <v>11</v>
      </c>
      <c r="F64" s="8">
        <v>1.1299999999999999</v>
      </c>
      <c r="G64" s="12">
        <v>6</v>
      </c>
      <c r="H64" s="8">
        <v>1.4</v>
      </c>
      <c r="I64" s="12">
        <v>0</v>
      </c>
    </row>
    <row r="65" spans="2:9" ht="15" customHeight="1" x14ac:dyDescent="0.2">
      <c r="B65" t="s">
        <v>126</v>
      </c>
      <c r="C65" s="12">
        <v>16</v>
      </c>
      <c r="D65" s="8">
        <v>1.1399999999999999</v>
      </c>
      <c r="E65" s="12">
        <v>16</v>
      </c>
      <c r="F65" s="8">
        <v>1.64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132</v>
      </c>
      <c r="C66" s="12">
        <v>16</v>
      </c>
      <c r="D66" s="8">
        <v>1.1399999999999999</v>
      </c>
      <c r="E66" s="12">
        <v>13</v>
      </c>
      <c r="F66" s="8">
        <v>1.34</v>
      </c>
      <c r="G66" s="12">
        <v>3</v>
      </c>
      <c r="H66" s="8">
        <v>0.7</v>
      </c>
      <c r="I66" s="12">
        <v>0</v>
      </c>
    </row>
    <row r="67" spans="2:9" ht="15" customHeight="1" x14ac:dyDescent="0.2">
      <c r="B67" t="s">
        <v>172</v>
      </c>
      <c r="C67" s="12">
        <v>14</v>
      </c>
      <c r="D67" s="8">
        <v>1</v>
      </c>
      <c r="E67" s="12">
        <v>5</v>
      </c>
      <c r="F67" s="8">
        <v>0.51</v>
      </c>
      <c r="G67" s="12">
        <v>9</v>
      </c>
      <c r="H67" s="8">
        <v>2.1</v>
      </c>
      <c r="I67" s="12">
        <v>0</v>
      </c>
    </row>
    <row r="68" spans="2:9" ht="15" customHeight="1" x14ac:dyDescent="0.2">
      <c r="B68" t="s">
        <v>144</v>
      </c>
      <c r="C68" s="12">
        <v>14</v>
      </c>
      <c r="D68" s="8">
        <v>1</v>
      </c>
      <c r="E68" s="12">
        <v>7</v>
      </c>
      <c r="F68" s="8">
        <v>0.72</v>
      </c>
      <c r="G68" s="12">
        <v>7</v>
      </c>
      <c r="H68" s="8">
        <v>1.64</v>
      </c>
      <c r="I68" s="12">
        <v>0</v>
      </c>
    </row>
    <row r="69" spans="2:9" ht="15" customHeight="1" x14ac:dyDescent="0.2">
      <c r="B69" t="s">
        <v>196</v>
      </c>
      <c r="C69" s="12">
        <v>14</v>
      </c>
      <c r="D69" s="8">
        <v>1</v>
      </c>
      <c r="E69" s="12">
        <v>11</v>
      </c>
      <c r="F69" s="8">
        <v>1.1299999999999999</v>
      </c>
      <c r="G69" s="12">
        <v>3</v>
      </c>
      <c r="H69" s="8">
        <v>0.7</v>
      </c>
      <c r="I69" s="12">
        <v>0</v>
      </c>
    </row>
    <row r="70" spans="2:9" ht="15" customHeight="1" x14ac:dyDescent="0.2">
      <c r="B70" t="s">
        <v>139</v>
      </c>
      <c r="C70" s="12">
        <v>14</v>
      </c>
      <c r="D70" s="8">
        <v>1</v>
      </c>
      <c r="E70" s="12">
        <v>13</v>
      </c>
      <c r="F70" s="8">
        <v>1.34</v>
      </c>
      <c r="G70" s="12">
        <v>1</v>
      </c>
      <c r="H70" s="8">
        <v>0.23</v>
      </c>
      <c r="I70" s="12">
        <v>0</v>
      </c>
    </row>
    <row r="71" spans="2:9" ht="15" customHeight="1" x14ac:dyDescent="0.2">
      <c r="B71" t="s">
        <v>165</v>
      </c>
      <c r="C71" s="12">
        <v>14</v>
      </c>
      <c r="D71" s="8">
        <v>1</v>
      </c>
      <c r="E71" s="12">
        <v>11</v>
      </c>
      <c r="F71" s="8">
        <v>1.1299999999999999</v>
      </c>
      <c r="G71" s="12">
        <v>3</v>
      </c>
      <c r="H71" s="8">
        <v>0.7</v>
      </c>
      <c r="I71" s="12">
        <v>0</v>
      </c>
    </row>
    <row r="73" spans="2:9" ht="15" customHeight="1" x14ac:dyDescent="0.2">
      <c r="B73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7953E-588A-4BA4-AA05-DBDACBA9A4CE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255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139</v>
      </c>
      <c r="D6" s="8">
        <v>15.29</v>
      </c>
      <c r="E6" s="12">
        <v>71</v>
      </c>
      <c r="F6" s="8">
        <v>14.85</v>
      </c>
      <c r="G6" s="12">
        <v>68</v>
      </c>
      <c r="H6" s="8">
        <v>16.43</v>
      </c>
      <c r="I6" s="12">
        <v>0</v>
      </c>
    </row>
    <row r="7" spans="2:9" ht="15" customHeight="1" x14ac:dyDescent="0.2">
      <c r="B7" t="s">
        <v>53</v>
      </c>
      <c r="C7" s="12">
        <v>149</v>
      </c>
      <c r="D7" s="8">
        <v>16.39</v>
      </c>
      <c r="E7" s="12">
        <v>56</v>
      </c>
      <c r="F7" s="8">
        <v>11.72</v>
      </c>
      <c r="G7" s="12">
        <v>93</v>
      </c>
      <c r="H7" s="8">
        <v>22.46</v>
      </c>
      <c r="I7" s="12">
        <v>0</v>
      </c>
    </row>
    <row r="8" spans="2:9" ht="15" customHeight="1" x14ac:dyDescent="0.2">
      <c r="B8" t="s">
        <v>54</v>
      </c>
      <c r="C8" s="12">
        <v>3</v>
      </c>
      <c r="D8" s="8">
        <v>0.33</v>
      </c>
      <c r="E8" s="12">
        <v>0</v>
      </c>
      <c r="F8" s="8">
        <v>0</v>
      </c>
      <c r="G8" s="12">
        <v>3</v>
      </c>
      <c r="H8" s="8">
        <v>0.72</v>
      </c>
      <c r="I8" s="12">
        <v>0</v>
      </c>
    </row>
    <row r="9" spans="2:9" ht="15" customHeight="1" x14ac:dyDescent="0.2">
      <c r="B9" t="s">
        <v>55</v>
      </c>
      <c r="C9" s="12">
        <v>11</v>
      </c>
      <c r="D9" s="8">
        <v>1.21</v>
      </c>
      <c r="E9" s="12">
        <v>1</v>
      </c>
      <c r="F9" s="8">
        <v>0.21</v>
      </c>
      <c r="G9" s="12">
        <v>9</v>
      </c>
      <c r="H9" s="8">
        <v>2.17</v>
      </c>
      <c r="I9" s="12">
        <v>0</v>
      </c>
    </row>
    <row r="10" spans="2:9" ht="15" customHeight="1" x14ac:dyDescent="0.2">
      <c r="B10" t="s">
        <v>56</v>
      </c>
      <c r="C10" s="12">
        <v>9</v>
      </c>
      <c r="D10" s="8">
        <v>0.99</v>
      </c>
      <c r="E10" s="12">
        <v>2</v>
      </c>
      <c r="F10" s="8">
        <v>0.42</v>
      </c>
      <c r="G10" s="12">
        <v>7</v>
      </c>
      <c r="H10" s="8">
        <v>1.69</v>
      </c>
      <c r="I10" s="12">
        <v>0</v>
      </c>
    </row>
    <row r="11" spans="2:9" ht="15" customHeight="1" x14ac:dyDescent="0.2">
      <c r="B11" t="s">
        <v>57</v>
      </c>
      <c r="C11" s="12">
        <v>214</v>
      </c>
      <c r="D11" s="8">
        <v>23.54</v>
      </c>
      <c r="E11" s="12">
        <v>105</v>
      </c>
      <c r="F11" s="8">
        <v>21.97</v>
      </c>
      <c r="G11" s="12">
        <v>109</v>
      </c>
      <c r="H11" s="8">
        <v>26.33</v>
      </c>
      <c r="I11" s="12">
        <v>0</v>
      </c>
    </row>
    <row r="12" spans="2:9" ht="15" customHeight="1" x14ac:dyDescent="0.2">
      <c r="B12" t="s">
        <v>58</v>
      </c>
      <c r="C12" s="12">
        <v>5</v>
      </c>
      <c r="D12" s="8">
        <v>0.55000000000000004</v>
      </c>
      <c r="E12" s="12">
        <v>0</v>
      </c>
      <c r="F12" s="8">
        <v>0</v>
      </c>
      <c r="G12" s="12">
        <v>5</v>
      </c>
      <c r="H12" s="8">
        <v>1.21</v>
      </c>
      <c r="I12" s="12">
        <v>0</v>
      </c>
    </row>
    <row r="13" spans="2:9" ht="15" customHeight="1" x14ac:dyDescent="0.2">
      <c r="B13" t="s">
        <v>59</v>
      </c>
      <c r="C13" s="12">
        <v>56</v>
      </c>
      <c r="D13" s="8">
        <v>6.16</v>
      </c>
      <c r="E13" s="12">
        <v>19</v>
      </c>
      <c r="F13" s="8">
        <v>3.97</v>
      </c>
      <c r="G13" s="12">
        <v>37</v>
      </c>
      <c r="H13" s="8">
        <v>8.94</v>
      </c>
      <c r="I13" s="12">
        <v>0</v>
      </c>
    </row>
    <row r="14" spans="2:9" ht="15" customHeight="1" x14ac:dyDescent="0.2">
      <c r="B14" t="s">
        <v>60</v>
      </c>
      <c r="C14" s="12">
        <v>42</v>
      </c>
      <c r="D14" s="8">
        <v>4.62</v>
      </c>
      <c r="E14" s="12">
        <v>24</v>
      </c>
      <c r="F14" s="8">
        <v>5.0199999999999996</v>
      </c>
      <c r="G14" s="12">
        <v>16</v>
      </c>
      <c r="H14" s="8">
        <v>3.86</v>
      </c>
      <c r="I14" s="12">
        <v>0</v>
      </c>
    </row>
    <row r="15" spans="2:9" ht="15" customHeight="1" x14ac:dyDescent="0.2">
      <c r="B15" t="s">
        <v>61</v>
      </c>
      <c r="C15" s="12">
        <v>104</v>
      </c>
      <c r="D15" s="8">
        <v>11.44</v>
      </c>
      <c r="E15" s="12">
        <v>84</v>
      </c>
      <c r="F15" s="8">
        <v>17.57</v>
      </c>
      <c r="G15" s="12">
        <v>19</v>
      </c>
      <c r="H15" s="8">
        <v>4.59</v>
      </c>
      <c r="I15" s="12">
        <v>0</v>
      </c>
    </row>
    <row r="16" spans="2:9" ht="15" customHeight="1" x14ac:dyDescent="0.2">
      <c r="B16" t="s">
        <v>62</v>
      </c>
      <c r="C16" s="12">
        <v>91</v>
      </c>
      <c r="D16" s="8">
        <v>10.01</v>
      </c>
      <c r="E16" s="12">
        <v>68</v>
      </c>
      <c r="F16" s="8">
        <v>14.23</v>
      </c>
      <c r="G16" s="12">
        <v>22</v>
      </c>
      <c r="H16" s="8">
        <v>5.31</v>
      </c>
      <c r="I16" s="12">
        <v>0</v>
      </c>
    </row>
    <row r="17" spans="2:9" ht="15" customHeight="1" x14ac:dyDescent="0.2">
      <c r="B17" t="s">
        <v>63</v>
      </c>
      <c r="C17" s="12">
        <v>25</v>
      </c>
      <c r="D17" s="8">
        <v>2.75</v>
      </c>
      <c r="E17" s="12">
        <v>12</v>
      </c>
      <c r="F17" s="8">
        <v>2.5099999999999998</v>
      </c>
      <c r="G17" s="12">
        <v>5</v>
      </c>
      <c r="H17" s="8">
        <v>1.21</v>
      </c>
      <c r="I17" s="12">
        <v>2</v>
      </c>
    </row>
    <row r="18" spans="2:9" ht="15" customHeight="1" x14ac:dyDescent="0.2">
      <c r="B18" t="s">
        <v>64</v>
      </c>
      <c r="C18" s="12">
        <v>33</v>
      </c>
      <c r="D18" s="8">
        <v>3.63</v>
      </c>
      <c r="E18" s="12">
        <v>20</v>
      </c>
      <c r="F18" s="8">
        <v>4.18</v>
      </c>
      <c r="G18" s="12">
        <v>11</v>
      </c>
      <c r="H18" s="8">
        <v>2.66</v>
      </c>
      <c r="I18" s="12">
        <v>0</v>
      </c>
    </row>
    <row r="19" spans="2:9" ht="15" customHeight="1" x14ac:dyDescent="0.2">
      <c r="B19" t="s">
        <v>65</v>
      </c>
      <c r="C19" s="12">
        <v>28</v>
      </c>
      <c r="D19" s="8">
        <v>3.08</v>
      </c>
      <c r="E19" s="12">
        <v>16</v>
      </c>
      <c r="F19" s="8">
        <v>3.35</v>
      </c>
      <c r="G19" s="12">
        <v>10</v>
      </c>
      <c r="H19" s="8">
        <v>2.42</v>
      </c>
      <c r="I19" s="12">
        <v>1</v>
      </c>
    </row>
    <row r="20" spans="2:9" ht="15" customHeight="1" x14ac:dyDescent="0.2">
      <c r="B20" s="9" t="s">
        <v>215</v>
      </c>
      <c r="C20" s="12">
        <f>SUM(LTBL_28228[総数／事業所数])</f>
        <v>909</v>
      </c>
      <c r="E20" s="12">
        <f>SUBTOTAL(109,LTBL_28228[個人／事業所数])</f>
        <v>478</v>
      </c>
      <c r="G20" s="12">
        <f>SUBTOTAL(109,LTBL_28228[法人／事業所数])</f>
        <v>414</v>
      </c>
      <c r="I20" s="12">
        <f>SUBTOTAL(109,LTBL_28228[法人以外の団体／事業所数])</f>
        <v>3</v>
      </c>
    </row>
    <row r="21" spans="2:9" ht="15" customHeight="1" x14ac:dyDescent="0.2">
      <c r="E21" s="11">
        <f>LTBL_28228[[#Totals],[個人／事業所数]]/LTBL_28228[[#Totals],[総数／事業所数]]</f>
        <v>0.52585258525852585</v>
      </c>
      <c r="G21" s="11">
        <f>LTBL_28228[[#Totals],[法人／事業所数]]/LTBL_28228[[#Totals],[総数／事業所数]]</f>
        <v>0.45544554455445546</v>
      </c>
      <c r="I21" s="11">
        <f>LTBL_28228[[#Totals],[法人以外の団体／事業所数]]/LTBL_28228[[#Totals],[総数／事業所数]]</f>
        <v>3.3003300330033004E-3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93</v>
      </c>
      <c r="D24" s="8">
        <v>10.23</v>
      </c>
      <c r="E24" s="12">
        <v>79</v>
      </c>
      <c r="F24" s="8">
        <v>16.53</v>
      </c>
      <c r="G24" s="12">
        <v>14</v>
      </c>
      <c r="H24" s="8">
        <v>3.38</v>
      </c>
      <c r="I24" s="12">
        <v>0</v>
      </c>
    </row>
    <row r="25" spans="2:9" ht="15" customHeight="1" x14ac:dyDescent="0.2">
      <c r="B25" t="s">
        <v>89</v>
      </c>
      <c r="C25" s="12">
        <v>81</v>
      </c>
      <c r="D25" s="8">
        <v>8.91</v>
      </c>
      <c r="E25" s="12">
        <v>64</v>
      </c>
      <c r="F25" s="8">
        <v>13.39</v>
      </c>
      <c r="G25" s="12">
        <v>17</v>
      </c>
      <c r="H25" s="8">
        <v>4.1100000000000003</v>
      </c>
      <c r="I25" s="12">
        <v>0</v>
      </c>
    </row>
    <row r="26" spans="2:9" ht="15" customHeight="1" x14ac:dyDescent="0.2">
      <c r="B26" t="s">
        <v>74</v>
      </c>
      <c r="C26" s="12">
        <v>80</v>
      </c>
      <c r="D26" s="8">
        <v>8.8000000000000007</v>
      </c>
      <c r="E26" s="12">
        <v>35</v>
      </c>
      <c r="F26" s="8">
        <v>7.32</v>
      </c>
      <c r="G26" s="12">
        <v>45</v>
      </c>
      <c r="H26" s="8">
        <v>10.87</v>
      </c>
      <c r="I26" s="12">
        <v>0</v>
      </c>
    </row>
    <row r="27" spans="2:9" ht="15" customHeight="1" x14ac:dyDescent="0.2">
      <c r="B27" t="s">
        <v>83</v>
      </c>
      <c r="C27" s="12">
        <v>58</v>
      </c>
      <c r="D27" s="8">
        <v>6.38</v>
      </c>
      <c r="E27" s="12">
        <v>22</v>
      </c>
      <c r="F27" s="8">
        <v>4.5999999999999996</v>
      </c>
      <c r="G27" s="12">
        <v>36</v>
      </c>
      <c r="H27" s="8">
        <v>8.6999999999999993</v>
      </c>
      <c r="I27" s="12">
        <v>0</v>
      </c>
    </row>
    <row r="28" spans="2:9" ht="15" customHeight="1" x14ac:dyDescent="0.2">
      <c r="B28" t="s">
        <v>82</v>
      </c>
      <c r="C28" s="12">
        <v>43</v>
      </c>
      <c r="D28" s="8">
        <v>4.7300000000000004</v>
      </c>
      <c r="E28" s="12">
        <v>22</v>
      </c>
      <c r="F28" s="8">
        <v>4.5999999999999996</v>
      </c>
      <c r="G28" s="12">
        <v>21</v>
      </c>
      <c r="H28" s="8">
        <v>5.07</v>
      </c>
      <c r="I28" s="12">
        <v>0</v>
      </c>
    </row>
    <row r="29" spans="2:9" ht="15" customHeight="1" x14ac:dyDescent="0.2">
      <c r="B29" t="s">
        <v>75</v>
      </c>
      <c r="C29" s="12">
        <v>38</v>
      </c>
      <c r="D29" s="8">
        <v>4.18</v>
      </c>
      <c r="E29" s="12">
        <v>25</v>
      </c>
      <c r="F29" s="8">
        <v>5.23</v>
      </c>
      <c r="G29" s="12">
        <v>13</v>
      </c>
      <c r="H29" s="8">
        <v>3.14</v>
      </c>
      <c r="I29" s="12">
        <v>0</v>
      </c>
    </row>
    <row r="30" spans="2:9" ht="15" customHeight="1" x14ac:dyDescent="0.2">
      <c r="B30" t="s">
        <v>85</v>
      </c>
      <c r="C30" s="12">
        <v>37</v>
      </c>
      <c r="D30" s="8">
        <v>4.07</v>
      </c>
      <c r="E30" s="12">
        <v>16</v>
      </c>
      <c r="F30" s="8">
        <v>3.35</v>
      </c>
      <c r="G30" s="12">
        <v>21</v>
      </c>
      <c r="H30" s="8">
        <v>5.07</v>
      </c>
      <c r="I30" s="12">
        <v>0</v>
      </c>
    </row>
    <row r="31" spans="2:9" ht="15" customHeight="1" x14ac:dyDescent="0.2">
      <c r="B31" t="s">
        <v>81</v>
      </c>
      <c r="C31" s="12">
        <v>36</v>
      </c>
      <c r="D31" s="8">
        <v>3.96</v>
      </c>
      <c r="E31" s="12">
        <v>30</v>
      </c>
      <c r="F31" s="8">
        <v>6.28</v>
      </c>
      <c r="G31" s="12">
        <v>6</v>
      </c>
      <c r="H31" s="8">
        <v>1.45</v>
      </c>
      <c r="I31" s="12">
        <v>0</v>
      </c>
    </row>
    <row r="32" spans="2:9" ht="15" customHeight="1" x14ac:dyDescent="0.2">
      <c r="B32" t="s">
        <v>111</v>
      </c>
      <c r="C32" s="12">
        <v>28</v>
      </c>
      <c r="D32" s="8">
        <v>3.08</v>
      </c>
      <c r="E32" s="12">
        <v>15</v>
      </c>
      <c r="F32" s="8">
        <v>3.14</v>
      </c>
      <c r="G32" s="12">
        <v>13</v>
      </c>
      <c r="H32" s="8">
        <v>3.14</v>
      </c>
      <c r="I32" s="12">
        <v>0</v>
      </c>
    </row>
    <row r="33" spans="2:9" ht="15" customHeight="1" x14ac:dyDescent="0.2">
      <c r="B33" t="s">
        <v>80</v>
      </c>
      <c r="C33" s="12">
        <v>27</v>
      </c>
      <c r="D33" s="8">
        <v>2.97</v>
      </c>
      <c r="E33" s="12">
        <v>16</v>
      </c>
      <c r="F33" s="8">
        <v>3.35</v>
      </c>
      <c r="G33" s="12">
        <v>11</v>
      </c>
      <c r="H33" s="8">
        <v>2.66</v>
      </c>
      <c r="I33" s="12">
        <v>0</v>
      </c>
    </row>
    <row r="34" spans="2:9" ht="15" customHeight="1" x14ac:dyDescent="0.2">
      <c r="B34" t="s">
        <v>91</v>
      </c>
      <c r="C34" s="12">
        <v>25</v>
      </c>
      <c r="D34" s="8">
        <v>2.75</v>
      </c>
      <c r="E34" s="12">
        <v>12</v>
      </c>
      <c r="F34" s="8">
        <v>2.5099999999999998</v>
      </c>
      <c r="G34" s="12">
        <v>5</v>
      </c>
      <c r="H34" s="8">
        <v>1.21</v>
      </c>
      <c r="I34" s="12">
        <v>2</v>
      </c>
    </row>
    <row r="35" spans="2:9" ht="15" customHeight="1" x14ac:dyDescent="0.2">
      <c r="B35" t="s">
        <v>92</v>
      </c>
      <c r="C35" s="12">
        <v>24</v>
      </c>
      <c r="D35" s="8">
        <v>2.64</v>
      </c>
      <c r="E35" s="12">
        <v>20</v>
      </c>
      <c r="F35" s="8">
        <v>4.18</v>
      </c>
      <c r="G35" s="12">
        <v>4</v>
      </c>
      <c r="H35" s="8">
        <v>0.97</v>
      </c>
      <c r="I35" s="12">
        <v>0</v>
      </c>
    </row>
    <row r="36" spans="2:9" ht="15" customHeight="1" x14ac:dyDescent="0.2">
      <c r="B36" t="s">
        <v>76</v>
      </c>
      <c r="C36" s="12">
        <v>21</v>
      </c>
      <c r="D36" s="8">
        <v>2.31</v>
      </c>
      <c r="E36" s="12">
        <v>11</v>
      </c>
      <c r="F36" s="8">
        <v>2.2999999999999998</v>
      </c>
      <c r="G36" s="12">
        <v>10</v>
      </c>
      <c r="H36" s="8">
        <v>2.42</v>
      </c>
      <c r="I36" s="12">
        <v>0</v>
      </c>
    </row>
    <row r="37" spans="2:9" ht="15" customHeight="1" x14ac:dyDescent="0.2">
      <c r="B37" t="s">
        <v>86</v>
      </c>
      <c r="C37" s="12">
        <v>21</v>
      </c>
      <c r="D37" s="8">
        <v>2.31</v>
      </c>
      <c r="E37" s="12">
        <v>14</v>
      </c>
      <c r="F37" s="8">
        <v>2.93</v>
      </c>
      <c r="G37" s="12">
        <v>7</v>
      </c>
      <c r="H37" s="8">
        <v>1.69</v>
      </c>
      <c r="I37" s="12">
        <v>0</v>
      </c>
    </row>
    <row r="38" spans="2:9" ht="15" customHeight="1" x14ac:dyDescent="0.2">
      <c r="B38" t="s">
        <v>77</v>
      </c>
      <c r="C38" s="12">
        <v>19</v>
      </c>
      <c r="D38" s="8">
        <v>2.09</v>
      </c>
      <c r="E38" s="12">
        <v>6</v>
      </c>
      <c r="F38" s="8">
        <v>1.26</v>
      </c>
      <c r="G38" s="12">
        <v>13</v>
      </c>
      <c r="H38" s="8">
        <v>3.14</v>
      </c>
      <c r="I38" s="12">
        <v>0</v>
      </c>
    </row>
    <row r="39" spans="2:9" ht="15" customHeight="1" x14ac:dyDescent="0.2">
      <c r="B39" t="s">
        <v>97</v>
      </c>
      <c r="C39" s="12">
        <v>18</v>
      </c>
      <c r="D39" s="8">
        <v>1.98</v>
      </c>
      <c r="E39" s="12">
        <v>9</v>
      </c>
      <c r="F39" s="8">
        <v>1.88</v>
      </c>
      <c r="G39" s="12">
        <v>9</v>
      </c>
      <c r="H39" s="8">
        <v>2.17</v>
      </c>
      <c r="I39" s="12">
        <v>0</v>
      </c>
    </row>
    <row r="40" spans="2:9" ht="15" customHeight="1" x14ac:dyDescent="0.2">
      <c r="B40" t="s">
        <v>87</v>
      </c>
      <c r="C40" s="12">
        <v>18</v>
      </c>
      <c r="D40" s="8">
        <v>1.98</v>
      </c>
      <c r="E40" s="12">
        <v>10</v>
      </c>
      <c r="F40" s="8">
        <v>2.09</v>
      </c>
      <c r="G40" s="12">
        <v>8</v>
      </c>
      <c r="H40" s="8">
        <v>1.93</v>
      </c>
      <c r="I40" s="12">
        <v>0</v>
      </c>
    </row>
    <row r="41" spans="2:9" ht="15" customHeight="1" x14ac:dyDescent="0.2">
      <c r="B41" t="s">
        <v>104</v>
      </c>
      <c r="C41" s="12">
        <v>15</v>
      </c>
      <c r="D41" s="8">
        <v>1.65</v>
      </c>
      <c r="E41" s="12">
        <v>12</v>
      </c>
      <c r="F41" s="8">
        <v>2.5099999999999998</v>
      </c>
      <c r="G41" s="12">
        <v>3</v>
      </c>
      <c r="H41" s="8">
        <v>0.72</v>
      </c>
      <c r="I41" s="12">
        <v>0</v>
      </c>
    </row>
    <row r="42" spans="2:9" ht="15" customHeight="1" x14ac:dyDescent="0.2">
      <c r="B42" t="s">
        <v>110</v>
      </c>
      <c r="C42" s="12">
        <v>14</v>
      </c>
      <c r="D42" s="8">
        <v>1.54</v>
      </c>
      <c r="E42" s="12">
        <v>5</v>
      </c>
      <c r="F42" s="8">
        <v>1.05</v>
      </c>
      <c r="G42" s="12">
        <v>9</v>
      </c>
      <c r="H42" s="8">
        <v>2.17</v>
      </c>
      <c r="I42" s="12">
        <v>0</v>
      </c>
    </row>
    <row r="43" spans="2:9" ht="15" customHeight="1" x14ac:dyDescent="0.2">
      <c r="B43" t="s">
        <v>79</v>
      </c>
      <c r="C43" s="12">
        <v>13</v>
      </c>
      <c r="D43" s="8">
        <v>1.43</v>
      </c>
      <c r="E43" s="12">
        <v>4</v>
      </c>
      <c r="F43" s="8">
        <v>0.84</v>
      </c>
      <c r="G43" s="12">
        <v>9</v>
      </c>
      <c r="H43" s="8">
        <v>2.17</v>
      </c>
      <c r="I43" s="12">
        <v>0</v>
      </c>
    </row>
    <row r="44" spans="2:9" ht="15" customHeight="1" x14ac:dyDescent="0.2">
      <c r="B44" t="s">
        <v>84</v>
      </c>
      <c r="C44" s="12">
        <v>13</v>
      </c>
      <c r="D44" s="8">
        <v>1.43</v>
      </c>
      <c r="E44" s="12">
        <v>3</v>
      </c>
      <c r="F44" s="8">
        <v>0.63</v>
      </c>
      <c r="G44" s="12">
        <v>10</v>
      </c>
      <c r="H44" s="8">
        <v>2.42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138</v>
      </c>
      <c r="C48" s="12">
        <v>35</v>
      </c>
      <c r="D48" s="8">
        <v>3.85</v>
      </c>
      <c r="E48" s="12">
        <v>33</v>
      </c>
      <c r="F48" s="8">
        <v>6.9</v>
      </c>
      <c r="G48" s="12">
        <v>2</v>
      </c>
      <c r="H48" s="8">
        <v>0.48</v>
      </c>
      <c r="I48" s="12">
        <v>0</v>
      </c>
    </row>
    <row r="49" spans="2:9" ht="15" customHeight="1" x14ac:dyDescent="0.2">
      <c r="B49" t="s">
        <v>122</v>
      </c>
      <c r="C49" s="12">
        <v>34</v>
      </c>
      <c r="D49" s="8">
        <v>3.74</v>
      </c>
      <c r="E49" s="12">
        <v>13</v>
      </c>
      <c r="F49" s="8">
        <v>2.72</v>
      </c>
      <c r="G49" s="12">
        <v>21</v>
      </c>
      <c r="H49" s="8">
        <v>5.07</v>
      </c>
      <c r="I49" s="12">
        <v>0</v>
      </c>
    </row>
    <row r="50" spans="2:9" ht="15" customHeight="1" x14ac:dyDescent="0.2">
      <c r="B50" t="s">
        <v>137</v>
      </c>
      <c r="C50" s="12">
        <v>29</v>
      </c>
      <c r="D50" s="8">
        <v>3.19</v>
      </c>
      <c r="E50" s="12">
        <v>28</v>
      </c>
      <c r="F50" s="8">
        <v>5.86</v>
      </c>
      <c r="G50" s="12">
        <v>1</v>
      </c>
      <c r="H50" s="8">
        <v>0.24</v>
      </c>
      <c r="I50" s="12">
        <v>0</v>
      </c>
    </row>
    <row r="51" spans="2:9" ht="15" customHeight="1" x14ac:dyDescent="0.2">
      <c r="B51" t="s">
        <v>132</v>
      </c>
      <c r="C51" s="12">
        <v>28</v>
      </c>
      <c r="D51" s="8">
        <v>3.08</v>
      </c>
      <c r="E51" s="12">
        <v>14</v>
      </c>
      <c r="F51" s="8">
        <v>2.93</v>
      </c>
      <c r="G51" s="12">
        <v>14</v>
      </c>
      <c r="H51" s="8">
        <v>3.38</v>
      </c>
      <c r="I51" s="12">
        <v>0</v>
      </c>
    </row>
    <row r="52" spans="2:9" ht="15" customHeight="1" x14ac:dyDescent="0.2">
      <c r="B52" t="s">
        <v>127</v>
      </c>
      <c r="C52" s="12">
        <v>26</v>
      </c>
      <c r="D52" s="8">
        <v>2.86</v>
      </c>
      <c r="E52" s="12">
        <v>14</v>
      </c>
      <c r="F52" s="8">
        <v>2.93</v>
      </c>
      <c r="G52" s="12">
        <v>12</v>
      </c>
      <c r="H52" s="8">
        <v>2.9</v>
      </c>
      <c r="I52" s="12">
        <v>0</v>
      </c>
    </row>
    <row r="53" spans="2:9" ht="15" customHeight="1" x14ac:dyDescent="0.2">
      <c r="B53" t="s">
        <v>197</v>
      </c>
      <c r="C53" s="12">
        <v>20</v>
      </c>
      <c r="D53" s="8">
        <v>2.2000000000000002</v>
      </c>
      <c r="E53" s="12">
        <v>8</v>
      </c>
      <c r="F53" s="8">
        <v>1.67</v>
      </c>
      <c r="G53" s="12">
        <v>12</v>
      </c>
      <c r="H53" s="8">
        <v>2.9</v>
      </c>
      <c r="I53" s="12">
        <v>0</v>
      </c>
    </row>
    <row r="54" spans="2:9" ht="15" customHeight="1" x14ac:dyDescent="0.2">
      <c r="B54" t="s">
        <v>169</v>
      </c>
      <c r="C54" s="12">
        <v>19</v>
      </c>
      <c r="D54" s="8">
        <v>2.09</v>
      </c>
      <c r="E54" s="12">
        <v>11</v>
      </c>
      <c r="F54" s="8">
        <v>2.2999999999999998</v>
      </c>
      <c r="G54" s="12">
        <v>8</v>
      </c>
      <c r="H54" s="8">
        <v>1.93</v>
      </c>
      <c r="I54" s="12">
        <v>0</v>
      </c>
    </row>
    <row r="55" spans="2:9" ht="15" customHeight="1" x14ac:dyDescent="0.2">
      <c r="B55" t="s">
        <v>134</v>
      </c>
      <c r="C55" s="12">
        <v>19</v>
      </c>
      <c r="D55" s="8">
        <v>2.09</v>
      </c>
      <c r="E55" s="12">
        <v>17</v>
      </c>
      <c r="F55" s="8">
        <v>3.56</v>
      </c>
      <c r="G55" s="12">
        <v>2</v>
      </c>
      <c r="H55" s="8">
        <v>0.48</v>
      </c>
      <c r="I55" s="12">
        <v>0</v>
      </c>
    </row>
    <row r="56" spans="2:9" ht="15" customHeight="1" x14ac:dyDescent="0.2">
      <c r="B56" t="s">
        <v>123</v>
      </c>
      <c r="C56" s="12">
        <v>18</v>
      </c>
      <c r="D56" s="8">
        <v>1.98</v>
      </c>
      <c r="E56" s="12">
        <v>7</v>
      </c>
      <c r="F56" s="8">
        <v>1.46</v>
      </c>
      <c r="G56" s="12">
        <v>11</v>
      </c>
      <c r="H56" s="8">
        <v>2.66</v>
      </c>
      <c r="I56" s="12">
        <v>0</v>
      </c>
    </row>
    <row r="57" spans="2:9" ht="15" customHeight="1" x14ac:dyDescent="0.2">
      <c r="B57" t="s">
        <v>133</v>
      </c>
      <c r="C57" s="12">
        <v>18</v>
      </c>
      <c r="D57" s="8">
        <v>1.98</v>
      </c>
      <c r="E57" s="12">
        <v>12</v>
      </c>
      <c r="F57" s="8">
        <v>2.5099999999999998</v>
      </c>
      <c r="G57" s="12">
        <v>6</v>
      </c>
      <c r="H57" s="8">
        <v>1.45</v>
      </c>
      <c r="I57" s="12">
        <v>0</v>
      </c>
    </row>
    <row r="58" spans="2:9" ht="15" customHeight="1" x14ac:dyDescent="0.2">
      <c r="B58" t="s">
        <v>136</v>
      </c>
      <c r="C58" s="12">
        <v>18</v>
      </c>
      <c r="D58" s="8">
        <v>1.98</v>
      </c>
      <c r="E58" s="12">
        <v>17</v>
      </c>
      <c r="F58" s="8">
        <v>3.56</v>
      </c>
      <c r="G58" s="12">
        <v>1</v>
      </c>
      <c r="H58" s="8">
        <v>0.24</v>
      </c>
      <c r="I58" s="12">
        <v>0</v>
      </c>
    </row>
    <row r="59" spans="2:9" ht="15" customHeight="1" x14ac:dyDescent="0.2">
      <c r="B59" t="s">
        <v>126</v>
      </c>
      <c r="C59" s="12">
        <v>16</v>
      </c>
      <c r="D59" s="8">
        <v>1.76</v>
      </c>
      <c r="E59" s="12">
        <v>12</v>
      </c>
      <c r="F59" s="8">
        <v>2.5099999999999998</v>
      </c>
      <c r="G59" s="12">
        <v>4</v>
      </c>
      <c r="H59" s="8">
        <v>0.97</v>
      </c>
      <c r="I59" s="12">
        <v>0</v>
      </c>
    </row>
    <row r="60" spans="2:9" ht="15" customHeight="1" x14ac:dyDescent="0.2">
      <c r="B60" t="s">
        <v>196</v>
      </c>
      <c r="C60" s="12">
        <v>16</v>
      </c>
      <c r="D60" s="8">
        <v>1.76</v>
      </c>
      <c r="E60" s="12">
        <v>13</v>
      </c>
      <c r="F60" s="8">
        <v>2.72</v>
      </c>
      <c r="G60" s="12">
        <v>3</v>
      </c>
      <c r="H60" s="8">
        <v>0.72</v>
      </c>
      <c r="I60" s="12">
        <v>0</v>
      </c>
    </row>
    <row r="61" spans="2:9" ht="15" customHeight="1" x14ac:dyDescent="0.2">
      <c r="B61" t="s">
        <v>165</v>
      </c>
      <c r="C61" s="12">
        <v>15</v>
      </c>
      <c r="D61" s="8">
        <v>1.65</v>
      </c>
      <c r="E61" s="12">
        <v>12</v>
      </c>
      <c r="F61" s="8">
        <v>2.5099999999999998</v>
      </c>
      <c r="G61" s="12">
        <v>3</v>
      </c>
      <c r="H61" s="8">
        <v>0.72</v>
      </c>
      <c r="I61" s="12">
        <v>0</v>
      </c>
    </row>
    <row r="62" spans="2:9" ht="15" customHeight="1" x14ac:dyDescent="0.2">
      <c r="B62" t="s">
        <v>176</v>
      </c>
      <c r="C62" s="12">
        <v>14</v>
      </c>
      <c r="D62" s="8">
        <v>1.54</v>
      </c>
      <c r="E62" s="12">
        <v>6</v>
      </c>
      <c r="F62" s="8">
        <v>1.26</v>
      </c>
      <c r="G62" s="12">
        <v>8</v>
      </c>
      <c r="H62" s="8">
        <v>1.93</v>
      </c>
      <c r="I62" s="12">
        <v>0</v>
      </c>
    </row>
    <row r="63" spans="2:9" ht="15" customHeight="1" x14ac:dyDescent="0.2">
      <c r="B63" t="s">
        <v>146</v>
      </c>
      <c r="C63" s="12">
        <v>14</v>
      </c>
      <c r="D63" s="8">
        <v>1.54</v>
      </c>
      <c r="E63" s="12">
        <v>2</v>
      </c>
      <c r="F63" s="8">
        <v>0.42</v>
      </c>
      <c r="G63" s="12">
        <v>12</v>
      </c>
      <c r="H63" s="8">
        <v>2.9</v>
      </c>
      <c r="I63" s="12">
        <v>0</v>
      </c>
    </row>
    <row r="64" spans="2:9" ht="15" customHeight="1" x14ac:dyDescent="0.2">
      <c r="B64" t="s">
        <v>124</v>
      </c>
      <c r="C64" s="12">
        <v>12</v>
      </c>
      <c r="D64" s="8">
        <v>1.32</v>
      </c>
      <c r="E64" s="12">
        <v>7</v>
      </c>
      <c r="F64" s="8">
        <v>1.46</v>
      </c>
      <c r="G64" s="12">
        <v>5</v>
      </c>
      <c r="H64" s="8">
        <v>1.21</v>
      </c>
      <c r="I64" s="12">
        <v>0</v>
      </c>
    </row>
    <row r="65" spans="2:9" ht="15" customHeight="1" x14ac:dyDescent="0.2">
      <c r="B65" t="s">
        <v>198</v>
      </c>
      <c r="C65" s="12">
        <v>12</v>
      </c>
      <c r="D65" s="8">
        <v>1.32</v>
      </c>
      <c r="E65" s="12">
        <v>6</v>
      </c>
      <c r="F65" s="8">
        <v>1.26</v>
      </c>
      <c r="G65" s="12">
        <v>6</v>
      </c>
      <c r="H65" s="8">
        <v>1.45</v>
      </c>
      <c r="I65" s="12">
        <v>0</v>
      </c>
    </row>
    <row r="66" spans="2:9" ht="15" customHeight="1" x14ac:dyDescent="0.2">
      <c r="B66" t="s">
        <v>172</v>
      </c>
      <c r="C66" s="12">
        <v>12</v>
      </c>
      <c r="D66" s="8">
        <v>1.32</v>
      </c>
      <c r="E66" s="12">
        <v>1</v>
      </c>
      <c r="F66" s="8">
        <v>0.21</v>
      </c>
      <c r="G66" s="12">
        <v>11</v>
      </c>
      <c r="H66" s="8">
        <v>2.66</v>
      </c>
      <c r="I66" s="12">
        <v>0</v>
      </c>
    </row>
    <row r="67" spans="2:9" ht="15" customHeight="1" x14ac:dyDescent="0.2">
      <c r="B67" t="s">
        <v>135</v>
      </c>
      <c r="C67" s="12">
        <v>12</v>
      </c>
      <c r="D67" s="8">
        <v>1.32</v>
      </c>
      <c r="E67" s="12">
        <v>11</v>
      </c>
      <c r="F67" s="8">
        <v>2.2999999999999998</v>
      </c>
      <c r="G67" s="12">
        <v>1</v>
      </c>
      <c r="H67" s="8">
        <v>0.24</v>
      </c>
      <c r="I67" s="12">
        <v>0</v>
      </c>
    </row>
    <row r="68" spans="2:9" ht="15" customHeight="1" x14ac:dyDescent="0.2">
      <c r="B68" t="s">
        <v>140</v>
      </c>
      <c r="C68" s="12">
        <v>12</v>
      </c>
      <c r="D68" s="8">
        <v>1.32</v>
      </c>
      <c r="E68" s="12">
        <v>9</v>
      </c>
      <c r="F68" s="8">
        <v>1.88</v>
      </c>
      <c r="G68" s="12">
        <v>3</v>
      </c>
      <c r="H68" s="8">
        <v>0.72</v>
      </c>
      <c r="I68" s="12">
        <v>0</v>
      </c>
    </row>
    <row r="69" spans="2:9" ht="15" customHeight="1" x14ac:dyDescent="0.2">
      <c r="B69" t="s">
        <v>141</v>
      </c>
      <c r="C69" s="12">
        <v>12</v>
      </c>
      <c r="D69" s="8">
        <v>1.32</v>
      </c>
      <c r="E69" s="12">
        <v>11</v>
      </c>
      <c r="F69" s="8">
        <v>2.2999999999999998</v>
      </c>
      <c r="G69" s="12">
        <v>1</v>
      </c>
      <c r="H69" s="8">
        <v>0.24</v>
      </c>
      <c r="I69" s="12">
        <v>0</v>
      </c>
    </row>
    <row r="71" spans="2:9" ht="15" customHeight="1" x14ac:dyDescent="0.2">
      <c r="B71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07202-209F-4DD3-82A7-9E64381BF3D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256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284</v>
      </c>
      <c r="D6" s="8">
        <v>14.83</v>
      </c>
      <c r="E6" s="12">
        <v>121</v>
      </c>
      <c r="F6" s="8">
        <v>10.93</v>
      </c>
      <c r="G6" s="12">
        <v>163</v>
      </c>
      <c r="H6" s="8">
        <v>21.7</v>
      </c>
      <c r="I6" s="12">
        <v>0</v>
      </c>
    </row>
    <row r="7" spans="2:9" ht="15" customHeight="1" x14ac:dyDescent="0.2">
      <c r="B7" t="s">
        <v>53</v>
      </c>
      <c r="C7" s="12">
        <v>369</v>
      </c>
      <c r="D7" s="8">
        <v>19.27</v>
      </c>
      <c r="E7" s="12">
        <v>243</v>
      </c>
      <c r="F7" s="8">
        <v>21.95</v>
      </c>
      <c r="G7" s="12">
        <v>126</v>
      </c>
      <c r="H7" s="8">
        <v>16.78</v>
      </c>
      <c r="I7" s="12">
        <v>0</v>
      </c>
    </row>
    <row r="8" spans="2:9" ht="15" customHeight="1" x14ac:dyDescent="0.2">
      <c r="B8" t="s">
        <v>54</v>
      </c>
      <c r="C8" s="12">
        <v>6</v>
      </c>
      <c r="D8" s="8">
        <v>0.31</v>
      </c>
      <c r="E8" s="12">
        <v>0</v>
      </c>
      <c r="F8" s="8">
        <v>0</v>
      </c>
      <c r="G8" s="12">
        <v>6</v>
      </c>
      <c r="H8" s="8">
        <v>0.8</v>
      </c>
      <c r="I8" s="12">
        <v>0</v>
      </c>
    </row>
    <row r="9" spans="2:9" ht="15" customHeight="1" x14ac:dyDescent="0.2">
      <c r="B9" t="s">
        <v>55</v>
      </c>
      <c r="C9" s="12">
        <v>11</v>
      </c>
      <c r="D9" s="8">
        <v>0.56999999999999995</v>
      </c>
      <c r="E9" s="12">
        <v>0</v>
      </c>
      <c r="F9" s="8">
        <v>0</v>
      </c>
      <c r="G9" s="12">
        <v>11</v>
      </c>
      <c r="H9" s="8">
        <v>1.46</v>
      </c>
      <c r="I9" s="12">
        <v>0</v>
      </c>
    </row>
    <row r="10" spans="2:9" ht="15" customHeight="1" x14ac:dyDescent="0.2">
      <c r="B10" t="s">
        <v>56</v>
      </c>
      <c r="C10" s="12">
        <v>28</v>
      </c>
      <c r="D10" s="8">
        <v>1.46</v>
      </c>
      <c r="E10" s="12">
        <v>4</v>
      </c>
      <c r="F10" s="8">
        <v>0.36</v>
      </c>
      <c r="G10" s="12">
        <v>23</v>
      </c>
      <c r="H10" s="8">
        <v>3.06</v>
      </c>
      <c r="I10" s="12">
        <v>0</v>
      </c>
    </row>
    <row r="11" spans="2:9" ht="15" customHeight="1" x14ac:dyDescent="0.2">
      <c r="B11" t="s">
        <v>57</v>
      </c>
      <c r="C11" s="12">
        <v>450</v>
      </c>
      <c r="D11" s="8">
        <v>23.5</v>
      </c>
      <c r="E11" s="12">
        <v>264</v>
      </c>
      <c r="F11" s="8">
        <v>23.85</v>
      </c>
      <c r="G11" s="12">
        <v>184</v>
      </c>
      <c r="H11" s="8">
        <v>24.5</v>
      </c>
      <c r="I11" s="12">
        <v>2</v>
      </c>
    </row>
    <row r="12" spans="2:9" ht="15" customHeight="1" x14ac:dyDescent="0.2">
      <c r="B12" t="s">
        <v>58</v>
      </c>
      <c r="C12" s="12">
        <v>13</v>
      </c>
      <c r="D12" s="8">
        <v>0.68</v>
      </c>
      <c r="E12" s="12">
        <v>4</v>
      </c>
      <c r="F12" s="8">
        <v>0.36</v>
      </c>
      <c r="G12" s="12">
        <v>9</v>
      </c>
      <c r="H12" s="8">
        <v>1.2</v>
      </c>
      <c r="I12" s="12">
        <v>0</v>
      </c>
    </row>
    <row r="13" spans="2:9" ht="15" customHeight="1" x14ac:dyDescent="0.2">
      <c r="B13" t="s">
        <v>59</v>
      </c>
      <c r="C13" s="12">
        <v>104</v>
      </c>
      <c r="D13" s="8">
        <v>5.43</v>
      </c>
      <c r="E13" s="12">
        <v>41</v>
      </c>
      <c r="F13" s="8">
        <v>3.7</v>
      </c>
      <c r="G13" s="12">
        <v>62</v>
      </c>
      <c r="H13" s="8">
        <v>8.26</v>
      </c>
      <c r="I13" s="12">
        <v>0</v>
      </c>
    </row>
    <row r="14" spans="2:9" ht="15" customHeight="1" x14ac:dyDescent="0.2">
      <c r="B14" t="s">
        <v>60</v>
      </c>
      <c r="C14" s="12">
        <v>65</v>
      </c>
      <c r="D14" s="8">
        <v>3.39</v>
      </c>
      <c r="E14" s="12">
        <v>37</v>
      </c>
      <c r="F14" s="8">
        <v>3.34</v>
      </c>
      <c r="G14" s="12">
        <v>27</v>
      </c>
      <c r="H14" s="8">
        <v>3.6</v>
      </c>
      <c r="I14" s="12">
        <v>0</v>
      </c>
    </row>
    <row r="15" spans="2:9" ht="15" customHeight="1" x14ac:dyDescent="0.2">
      <c r="B15" t="s">
        <v>61</v>
      </c>
      <c r="C15" s="12">
        <v>139</v>
      </c>
      <c r="D15" s="8">
        <v>7.26</v>
      </c>
      <c r="E15" s="12">
        <v>115</v>
      </c>
      <c r="F15" s="8">
        <v>10.39</v>
      </c>
      <c r="G15" s="12">
        <v>23</v>
      </c>
      <c r="H15" s="8">
        <v>3.06</v>
      </c>
      <c r="I15" s="12">
        <v>1</v>
      </c>
    </row>
    <row r="16" spans="2:9" ht="15" customHeight="1" x14ac:dyDescent="0.2">
      <c r="B16" t="s">
        <v>62</v>
      </c>
      <c r="C16" s="12">
        <v>200</v>
      </c>
      <c r="D16" s="8">
        <v>10.44</v>
      </c>
      <c r="E16" s="12">
        <v>160</v>
      </c>
      <c r="F16" s="8">
        <v>14.45</v>
      </c>
      <c r="G16" s="12">
        <v>36</v>
      </c>
      <c r="H16" s="8">
        <v>4.79</v>
      </c>
      <c r="I16" s="12">
        <v>0</v>
      </c>
    </row>
    <row r="17" spans="2:9" ht="15" customHeight="1" x14ac:dyDescent="0.2">
      <c r="B17" t="s">
        <v>63</v>
      </c>
      <c r="C17" s="12">
        <v>92</v>
      </c>
      <c r="D17" s="8">
        <v>4.8</v>
      </c>
      <c r="E17" s="12">
        <v>67</v>
      </c>
      <c r="F17" s="8">
        <v>6.05</v>
      </c>
      <c r="G17" s="12">
        <v>16</v>
      </c>
      <c r="H17" s="8">
        <v>2.13</v>
      </c>
      <c r="I17" s="12">
        <v>1</v>
      </c>
    </row>
    <row r="18" spans="2:9" ht="15" customHeight="1" x14ac:dyDescent="0.2">
      <c r="B18" t="s">
        <v>64</v>
      </c>
      <c r="C18" s="12">
        <v>88</v>
      </c>
      <c r="D18" s="8">
        <v>4.5999999999999996</v>
      </c>
      <c r="E18" s="12">
        <v>31</v>
      </c>
      <c r="F18" s="8">
        <v>2.8</v>
      </c>
      <c r="G18" s="12">
        <v>30</v>
      </c>
      <c r="H18" s="8">
        <v>3.99</v>
      </c>
      <c r="I18" s="12">
        <v>0</v>
      </c>
    </row>
    <row r="19" spans="2:9" ht="15" customHeight="1" x14ac:dyDescent="0.2">
      <c r="B19" t="s">
        <v>65</v>
      </c>
      <c r="C19" s="12">
        <v>66</v>
      </c>
      <c r="D19" s="8">
        <v>3.45</v>
      </c>
      <c r="E19" s="12">
        <v>20</v>
      </c>
      <c r="F19" s="8">
        <v>1.81</v>
      </c>
      <c r="G19" s="12">
        <v>35</v>
      </c>
      <c r="H19" s="8">
        <v>4.66</v>
      </c>
      <c r="I19" s="12">
        <v>7</v>
      </c>
    </row>
    <row r="20" spans="2:9" ht="15" customHeight="1" x14ac:dyDescent="0.2">
      <c r="B20" s="9" t="s">
        <v>215</v>
      </c>
      <c r="C20" s="12">
        <f>SUM(LTBL_28229[総数／事業所数])</f>
        <v>1915</v>
      </c>
      <c r="E20" s="12">
        <f>SUBTOTAL(109,LTBL_28229[個人／事業所数])</f>
        <v>1107</v>
      </c>
      <c r="G20" s="12">
        <f>SUBTOTAL(109,LTBL_28229[法人／事業所数])</f>
        <v>751</v>
      </c>
      <c r="I20" s="12">
        <f>SUBTOTAL(109,LTBL_28229[法人以外の団体／事業所数])</f>
        <v>11</v>
      </c>
    </row>
    <row r="21" spans="2:9" ht="15" customHeight="1" x14ac:dyDescent="0.2">
      <c r="E21" s="11">
        <f>LTBL_28229[[#Totals],[個人／事業所数]]/LTBL_28229[[#Totals],[総数／事業所数]]</f>
        <v>0.57806788511749352</v>
      </c>
      <c r="G21" s="11">
        <f>LTBL_28229[[#Totals],[法人／事業所数]]/LTBL_28229[[#Totals],[総数／事業所数]]</f>
        <v>0.39216710182767622</v>
      </c>
      <c r="I21" s="11">
        <f>LTBL_28229[[#Totals],[法人以外の団体／事業所数]]/LTBL_28229[[#Totals],[総数／事業所数]]</f>
        <v>5.7441253263707569E-3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171</v>
      </c>
      <c r="D24" s="8">
        <v>8.93</v>
      </c>
      <c r="E24" s="12">
        <v>146</v>
      </c>
      <c r="F24" s="8">
        <v>13.19</v>
      </c>
      <c r="G24" s="12">
        <v>25</v>
      </c>
      <c r="H24" s="8">
        <v>3.33</v>
      </c>
      <c r="I24" s="12">
        <v>0</v>
      </c>
    </row>
    <row r="25" spans="2:9" ht="15" customHeight="1" x14ac:dyDescent="0.2">
      <c r="B25" t="s">
        <v>74</v>
      </c>
      <c r="C25" s="12">
        <v>159</v>
      </c>
      <c r="D25" s="8">
        <v>8.3000000000000007</v>
      </c>
      <c r="E25" s="12">
        <v>50</v>
      </c>
      <c r="F25" s="8">
        <v>4.5199999999999996</v>
      </c>
      <c r="G25" s="12">
        <v>109</v>
      </c>
      <c r="H25" s="8">
        <v>14.51</v>
      </c>
      <c r="I25" s="12">
        <v>0</v>
      </c>
    </row>
    <row r="26" spans="2:9" ht="15" customHeight="1" x14ac:dyDescent="0.2">
      <c r="B26" t="s">
        <v>83</v>
      </c>
      <c r="C26" s="12">
        <v>149</v>
      </c>
      <c r="D26" s="8">
        <v>7.78</v>
      </c>
      <c r="E26" s="12">
        <v>86</v>
      </c>
      <c r="F26" s="8">
        <v>7.77</v>
      </c>
      <c r="G26" s="12">
        <v>63</v>
      </c>
      <c r="H26" s="8">
        <v>8.39</v>
      </c>
      <c r="I26" s="12">
        <v>0</v>
      </c>
    </row>
    <row r="27" spans="2:9" ht="15" customHeight="1" x14ac:dyDescent="0.2">
      <c r="B27" t="s">
        <v>88</v>
      </c>
      <c r="C27" s="12">
        <v>121</v>
      </c>
      <c r="D27" s="8">
        <v>6.32</v>
      </c>
      <c r="E27" s="12">
        <v>106</v>
      </c>
      <c r="F27" s="8">
        <v>9.58</v>
      </c>
      <c r="G27" s="12">
        <v>14</v>
      </c>
      <c r="H27" s="8">
        <v>1.86</v>
      </c>
      <c r="I27" s="12">
        <v>1</v>
      </c>
    </row>
    <row r="28" spans="2:9" ht="15" customHeight="1" x14ac:dyDescent="0.2">
      <c r="B28" t="s">
        <v>99</v>
      </c>
      <c r="C28" s="12">
        <v>116</v>
      </c>
      <c r="D28" s="8">
        <v>6.06</v>
      </c>
      <c r="E28" s="12">
        <v>97</v>
      </c>
      <c r="F28" s="8">
        <v>8.76</v>
      </c>
      <c r="G28" s="12">
        <v>19</v>
      </c>
      <c r="H28" s="8">
        <v>2.5299999999999998</v>
      </c>
      <c r="I28" s="12">
        <v>0</v>
      </c>
    </row>
    <row r="29" spans="2:9" ht="15" customHeight="1" x14ac:dyDescent="0.2">
      <c r="B29" t="s">
        <v>108</v>
      </c>
      <c r="C29" s="12">
        <v>102</v>
      </c>
      <c r="D29" s="8">
        <v>5.33</v>
      </c>
      <c r="E29" s="12">
        <v>78</v>
      </c>
      <c r="F29" s="8">
        <v>7.05</v>
      </c>
      <c r="G29" s="12">
        <v>24</v>
      </c>
      <c r="H29" s="8">
        <v>3.2</v>
      </c>
      <c r="I29" s="12">
        <v>0</v>
      </c>
    </row>
    <row r="30" spans="2:9" ht="15" customHeight="1" x14ac:dyDescent="0.2">
      <c r="B30" t="s">
        <v>81</v>
      </c>
      <c r="C30" s="12">
        <v>93</v>
      </c>
      <c r="D30" s="8">
        <v>4.8600000000000003</v>
      </c>
      <c r="E30" s="12">
        <v>70</v>
      </c>
      <c r="F30" s="8">
        <v>6.32</v>
      </c>
      <c r="G30" s="12">
        <v>21</v>
      </c>
      <c r="H30" s="8">
        <v>2.8</v>
      </c>
      <c r="I30" s="12">
        <v>2</v>
      </c>
    </row>
    <row r="31" spans="2:9" ht="15" customHeight="1" x14ac:dyDescent="0.2">
      <c r="B31" t="s">
        <v>91</v>
      </c>
      <c r="C31" s="12">
        <v>92</v>
      </c>
      <c r="D31" s="8">
        <v>4.8</v>
      </c>
      <c r="E31" s="12">
        <v>67</v>
      </c>
      <c r="F31" s="8">
        <v>6.05</v>
      </c>
      <c r="G31" s="12">
        <v>16</v>
      </c>
      <c r="H31" s="8">
        <v>2.13</v>
      </c>
      <c r="I31" s="12">
        <v>1</v>
      </c>
    </row>
    <row r="32" spans="2:9" ht="15" customHeight="1" x14ac:dyDescent="0.2">
      <c r="B32" t="s">
        <v>85</v>
      </c>
      <c r="C32" s="12">
        <v>82</v>
      </c>
      <c r="D32" s="8">
        <v>4.28</v>
      </c>
      <c r="E32" s="12">
        <v>36</v>
      </c>
      <c r="F32" s="8">
        <v>3.25</v>
      </c>
      <c r="G32" s="12">
        <v>45</v>
      </c>
      <c r="H32" s="8">
        <v>5.99</v>
      </c>
      <c r="I32" s="12">
        <v>0</v>
      </c>
    </row>
    <row r="33" spans="2:9" ht="15" customHeight="1" x14ac:dyDescent="0.2">
      <c r="B33" t="s">
        <v>75</v>
      </c>
      <c r="C33" s="12">
        <v>67</v>
      </c>
      <c r="D33" s="8">
        <v>3.5</v>
      </c>
      <c r="E33" s="12">
        <v>42</v>
      </c>
      <c r="F33" s="8">
        <v>3.79</v>
      </c>
      <c r="G33" s="12">
        <v>25</v>
      </c>
      <c r="H33" s="8">
        <v>3.33</v>
      </c>
      <c r="I33" s="12">
        <v>0</v>
      </c>
    </row>
    <row r="34" spans="2:9" ht="15" customHeight="1" x14ac:dyDescent="0.2">
      <c r="B34" t="s">
        <v>82</v>
      </c>
      <c r="C34" s="12">
        <v>65</v>
      </c>
      <c r="D34" s="8">
        <v>3.39</v>
      </c>
      <c r="E34" s="12">
        <v>52</v>
      </c>
      <c r="F34" s="8">
        <v>4.7</v>
      </c>
      <c r="G34" s="12">
        <v>13</v>
      </c>
      <c r="H34" s="8">
        <v>1.73</v>
      </c>
      <c r="I34" s="12">
        <v>0</v>
      </c>
    </row>
    <row r="35" spans="2:9" ht="15" customHeight="1" x14ac:dyDescent="0.2">
      <c r="B35" t="s">
        <v>76</v>
      </c>
      <c r="C35" s="12">
        <v>58</v>
      </c>
      <c r="D35" s="8">
        <v>3.03</v>
      </c>
      <c r="E35" s="12">
        <v>29</v>
      </c>
      <c r="F35" s="8">
        <v>2.62</v>
      </c>
      <c r="G35" s="12">
        <v>29</v>
      </c>
      <c r="H35" s="8">
        <v>3.86</v>
      </c>
      <c r="I35" s="12">
        <v>0</v>
      </c>
    </row>
    <row r="36" spans="2:9" ht="15" customHeight="1" x14ac:dyDescent="0.2">
      <c r="B36" t="s">
        <v>93</v>
      </c>
      <c r="C36" s="12">
        <v>53</v>
      </c>
      <c r="D36" s="8">
        <v>2.77</v>
      </c>
      <c r="E36" s="12">
        <v>1</v>
      </c>
      <c r="F36" s="8">
        <v>0.09</v>
      </c>
      <c r="G36" s="12">
        <v>25</v>
      </c>
      <c r="H36" s="8">
        <v>3.33</v>
      </c>
      <c r="I36" s="12">
        <v>0</v>
      </c>
    </row>
    <row r="37" spans="2:9" ht="15" customHeight="1" x14ac:dyDescent="0.2">
      <c r="B37" t="s">
        <v>80</v>
      </c>
      <c r="C37" s="12">
        <v>48</v>
      </c>
      <c r="D37" s="8">
        <v>2.5099999999999998</v>
      </c>
      <c r="E37" s="12">
        <v>26</v>
      </c>
      <c r="F37" s="8">
        <v>2.35</v>
      </c>
      <c r="G37" s="12">
        <v>22</v>
      </c>
      <c r="H37" s="8">
        <v>2.93</v>
      </c>
      <c r="I37" s="12">
        <v>0</v>
      </c>
    </row>
    <row r="38" spans="2:9" ht="15" customHeight="1" x14ac:dyDescent="0.2">
      <c r="B38" t="s">
        <v>86</v>
      </c>
      <c r="C38" s="12">
        <v>36</v>
      </c>
      <c r="D38" s="8">
        <v>1.88</v>
      </c>
      <c r="E38" s="12">
        <v>24</v>
      </c>
      <c r="F38" s="8">
        <v>2.17</v>
      </c>
      <c r="G38" s="12">
        <v>12</v>
      </c>
      <c r="H38" s="8">
        <v>1.6</v>
      </c>
      <c r="I38" s="12">
        <v>0</v>
      </c>
    </row>
    <row r="39" spans="2:9" ht="15" customHeight="1" x14ac:dyDescent="0.2">
      <c r="B39" t="s">
        <v>92</v>
      </c>
      <c r="C39" s="12">
        <v>35</v>
      </c>
      <c r="D39" s="8">
        <v>1.83</v>
      </c>
      <c r="E39" s="12">
        <v>30</v>
      </c>
      <c r="F39" s="8">
        <v>2.71</v>
      </c>
      <c r="G39" s="12">
        <v>5</v>
      </c>
      <c r="H39" s="8">
        <v>0.67</v>
      </c>
      <c r="I39" s="12">
        <v>0</v>
      </c>
    </row>
    <row r="40" spans="2:9" ht="15" customHeight="1" x14ac:dyDescent="0.2">
      <c r="B40" t="s">
        <v>87</v>
      </c>
      <c r="C40" s="12">
        <v>28</v>
      </c>
      <c r="D40" s="8">
        <v>1.46</v>
      </c>
      <c r="E40" s="12">
        <v>13</v>
      </c>
      <c r="F40" s="8">
        <v>1.17</v>
      </c>
      <c r="G40" s="12">
        <v>14</v>
      </c>
      <c r="H40" s="8">
        <v>1.86</v>
      </c>
      <c r="I40" s="12">
        <v>0</v>
      </c>
    </row>
    <row r="41" spans="2:9" ht="15" customHeight="1" x14ac:dyDescent="0.2">
      <c r="B41" t="s">
        <v>77</v>
      </c>
      <c r="C41" s="12">
        <v>27</v>
      </c>
      <c r="D41" s="8">
        <v>1.41</v>
      </c>
      <c r="E41" s="12">
        <v>13</v>
      </c>
      <c r="F41" s="8">
        <v>1.17</v>
      </c>
      <c r="G41" s="12">
        <v>14</v>
      </c>
      <c r="H41" s="8">
        <v>1.86</v>
      </c>
      <c r="I41" s="12">
        <v>0</v>
      </c>
    </row>
    <row r="42" spans="2:9" ht="15" customHeight="1" x14ac:dyDescent="0.2">
      <c r="B42" t="s">
        <v>97</v>
      </c>
      <c r="C42" s="12">
        <v>25</v>
      </c>
      <c r="D42" s="8">
        <v>1.31</v>
      </c>
      <c r="E42" s="12">
        <v>8</v>
      </c>
      <c r="F42" s="8">
        <v>0.72</v>
      </c>
      <c r="G42" s="12">
        <v>17</v>
      </c>
      <c r="H42" s="8">
        <v>2.2599999999999998</v>
      </c>
      <c r="I42" s="12">
        <v>0</v>
      </c>
    </row>
    <row r="43" spans="2:9" ht="15" customHeight="1" x14ac:dyDescent="0.2">
      <c r="B43" t="s">
        <v>95</v>
      </c>
      <c r="C43" s="12">
        <v>24</v>
      </c>
      <c r="D43" s="8">
        <v>1.25</v>
      </c>
      <c r="E43" s="12">
        <v>6</v>
      </c>
      <c r="F43" s="8">
        <v>0.54</v>
      </c>
      <c r="G43" s="12">
        <v>18</v>
      </c>
      <c r="H43" s="8">
        <v>2.4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199</v>
      </c>
      <c r="C47" s="12">
        <v>91</v>
      </c>
      <c r="D47" s="8">
        <v>4.75</v>
      </c>
      <c r="E47" s="12">
        <v>78</v>
      </c>
      <c r="F47" s="8">
        <v>7.05</v>
      </c>
      <c r="G47" s="12">
        <v>13</v>
      </c>
      <c r="H47" s="8">
        <v>1.73</v>
      </c>
      <c r="I47" s="12">
        <v>0</v>
      </c>
    </row>
    <row r="48" spans="2:9" ht="15" customHeight="1" x14ac:dyDescent="0.2">
      <c r="B48" t="s">
        <v>138</v>
      </c>
      <c r="C48" s="12">
        <v>91</v>
      </c>
      <c r="D48" s="8">
        <v>4.75</v>
      </c>
      <c r="E48" s="12">
        <v>83</v>
      </c>
      <c r="F48" s="8">
        <v>7.5</v>
      </c>
      <c r="G48" s="12">
        <v>8</v>
      </c>
      <c r="H48" s="8">
        <v>1.07</v>
      </c>
      <c r="I48" s="12">
        <v>0</v>
      </c>
    </row>
    <row r="49" spans="2:9" ht="15" customHeight="1" x14ac:dyDescent="0.2">
      <c r="B49" t="s">
        <v>191</v>
      </c>
      <c r="C49" s="12">
        <v>86</v>
      </c>
      <c r="D49" s="8">
        <v>4.49</v>
      </c>
      <c r="E49" s="12">
        <v>71</v>
      </c>
      <c r="F49" s="8">
        <v>6.41</v>
      </c>
      <c r="G49" s="12">
        <v>15</v>
      </c>
      <c r="H49" s="8">
        <v>2</v>
      </c>
      <c r="I49" s="12">
        <v>0</v>
      </c>
    </row>
    <row r="50" spans="2:9" ht="15" customHeight="1" x14ac:dyDescent="0.2">
      <c r="B50" t="s">
        <v>122</v>
      </c>
      <c r="C50" s="12">
        <v>73</v>
      </c>
      <c r="D50" s="8">
        <v>3.81</v>
      </c>
      <c r="E50" s="12">
        <v>21</v>
      </c>
      <c r="F50" s="8">
        <v>1.9</v>
      </c>
      <c r="G50" s="12">
        <v>52</v>
      </c>
      <c r="H50" s="8">
        <v>6.92</v>
      </c>
      <c r="I50" s="12">
        <v>0</v>
      </c>
    </row>
    <row r="51" spans="2:9" ht="15" customHeight="1" x14ac:dyDescent="0.2">
      <c r="B51" t="s">
        <v>140</v>
      </c>
      <c r="C51" s="12">
        <v>53</v>
      </c>
      <c r="D51" s="8">
        <v>2.77</v>
      </c>
      <c r="E51" s="12">
        <v>44</v>
      </c>
      <c r="F51" s="8">
        <v>3.97</v>
      </c>
      <c r="G51" s="12">
        <v>8</v>
      </c>
      <c r="H51" s="8">
        <v>1.07</v>
      </c>
      <c r="I51" s="12">
        <v>1</v>
      </c>
    </row>
    <row r="52" spans="2:9" ht="15" customHeight="1" x14ac:dyDescent="0.2">
      <c r="B52" t="s">
        <v>132</v>
      </c>
      <c r="C52" s="12">
        <v>51</v>
      </c>
      <c r="D52" s="8">
        <v>2.66</v>
      </c>
      <c r="E52" s="12">
        <v>32</v>
      </c>
      <c r="F52" s="8">
        <v>2.89</v>
      </c>
      <c r="G52" s="12">
        <v>18</v>
      </c>
      <c r="H52" s="8">
        <v>2.4</v>
      </c>
      <c r="I52" s="12">
        <v>0</v>
      </c>
    </row>
    <row r="53" spans="2:9" ht="15" customHeight="1" x14ac:dyDescent="0.2">
      <c r="B53" t="s">
        <v>136</v>
      </c>
      <c r="C53" s="12">
        <v>50</v>
      </c>
      <c r="D53" s="8">
        <v>2.61</v>
      </c>
      <c r="E53" s="12">
        <v>42</v>
      </c>
      <c r="F53" s="8">
        <v>3.79</v>
      </c>
      <c r="G53" s="12">
        <v>7</v>
      </c>
      <c r="H53" s="8">
        <v>0.93</v>
      </c>
      <c r="I53" s="12">
        <v>1</v>
      </c>
    </row>
    <row r="54" spans="2:9" ht="15" customHeight="1" x14ac:dyDescent="0.2">
      <c r="B54" t="s">
        <v>129</v>
      </c>
      <c r="C54" s="12">
        <v>48</v>
      </c>
      <c r="D54" s="8">
        <v>2.5099999999999998</v>
      </c>
      <c r="E54" s="12">
        <v>40</v>
      </c>
      <c r="F54" s="8">
        <v>3.61</v>
      </c>
      <c r="G54" s="12">
        <v>8</v>
      </c>
      <c r="H54" s="8">
        <v>1.07</v>
      </c>
      <c r="I54" s="12">
        <v>0</v>
      </c>
    </row>
    <row r="55" spans="2:9" ht="15" customHeight="1" x14ac:dyDescent="0.2">
      <c r="B55" t="s">
        <v>137</v>
      </c>
      <c r="C55" s="12">
        <v>48</v>
      </c>
      <c r="D55" s="8">
        <v>2.5099999999999998</v>
      </c>
      <c r="E55" s="12">
        <v>48</v>
      </c>
      <c r="F55" s="8">
        <v>4.34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127</v>
      </c>
      <c r="C56" s="12">
        <v>38</v>
      </c>
      <c r="D56" s="8">
        <v>1.98</v>
      </c>
      <c r="E56" s="12">
        <v>32</v>
      </c>
      <c r="F56" s="8">
        <v>2.89</v>
      </c>
      <c r="G56" s="12">
        <v>6</v>
      </c>
      <c r="H56" s="8">
        <v>0.8</v>
      </c>
      <c r="I56" s="12">
        <v>0</v>
      </c>
    </row>
    <row r="57" spans="2:9" ht="15" customHeight="1" x14ac:dyDescent="0.2">
      <c r="B57" t="s">
        <v>123</v>
      </c>
      <c r="C57" s="12">
        <v>36</v>
      </c>
      <c r="D57" s="8">
        <v>1.88</v>
      </c>
      <c r="E57" s="12">
        <v>7</v>
      </c>
      <c r="F57" s="8">
        <v>0.63</v>
      </c>
      <c r="G57" s="12">
        <v>29</v>
      </c>
      <c r="H57" s="8">
        <v>3.86</v>
      </c>
      <c r="I57" s="12">
        <v>0</v>
      </c>
    </row>
    <row r="58" spans="2:9" ht="15" customHeight="1" x14ac:dyDescent="0.2">
      <c r="B58" t="s">
        <v>126</v>
      </c>
      <c r="C58" s="12">
        <v>31</v>
      </c>
      <c r="D58" s="8">
        <v>1.62</v>
      </c>
      <c r="E58" s="12">
        <v>24</v>
      </c>
      <c r="F58" s="8">
        <v>2.17</v>
      </c>
      <c r="G58" s="12">
        <v>6</v>
      </c>
      <c r="H58" s="8">
        <v>0.8</v>
      </c>
      <c r="I58" s="12">
        <v>1</v>
      </c>
    </row>
    <row r="59" spans="2:9" ht="15" customHeight="1" x14ac:dyDescent="0.2">
      <c r="B59" t="s">
        <v>128</v>
      </c>
      <c r="C59" s="12">
        <v>30</v>
      </c>
      <c r="D59" s="8">
        <v>1.57</v>
      </c>
      <c r="E59" s="12">
        <v>14</v>
      </c>
      <c r="F59" s="8">
        <v>1.26</v>
      </c>
      <c r="G59" s="12">
        <v>16</v>
      </c>
      <c r="H59" s="8">
        <v>2.13</v>
      </c>
      <c r="I59" s="12">
        <v>0</v>
      </c>
    </row>
    <row r="60" spans="2:9" ht="15" customHeight="1" x14ac:dyDescent="0.2">
      <c r="B60" t="s">
        <v>169</v>
      </c>
      <c r="C60" s="12">
        <v>27</v>
      </c>
      <c r="D60" s="8">
        <v>1.41</v>
      </c>
      <c r="E60" s="12">
        <v>16</v>
      </c>
      <c r="F60" s="8">
        <v>1.45</v>
      </c>
      <c r="G60" s="12">
        <v>11</v>
      </c>
      <c r="H60" s="8">
        <v>1.46</v>
      </c>
      <c r="I60" s="12">
        <v>0</v>
      </c>
    </row>
    <row r="61" spans="2:9" ht="15" customHeight="1" x14ac:dyDescent="0.2">
      <c r="B61" t="s">
        <v>146</v>
      </c>
      <c r="C61" s="12">
        <v>26</v>
      </c>
      <c r="D61" s="8">
        <v>1.36</v>
      </c>
      <c r="E61" s="12">
        <v>13</v>
      </c>
      <c r="F61" s="8">
        <v>1.17</v>
      </c>
      <c r="G61" s="12">
        <v>13</v>
      </c>
      <c r="H61" s="8">
        <v>1.73</v>
      </c>
      <c r="I61" s="12">
        <v>0</v>
      </c>
    </row>
    <row r="62" spans="2:9" ht="15" customHeight="1" x14ac:dyDescent="0.2">
      <c r="B62" t="s">
        <v>124</v>
      </c>
      <c r="C62" s="12">
        <v>25</v>
      </c>
      <c r="D62" s="8">
        <v>1.31</v>
      </c>
      <c r="E62" s="12">
        <v>17</v>
      </c>
      <c r="F62" s="8">
        <v>1.54</v>
      </c>
      <c r="G62" s="12">
        <v>8</v>
      </c>
      <c r="H62" s="8">
        <v>1.07</v>
      </c>
      <c r="I62" s="12">
        <v>0</v>
      </c>
    </row>
    <row r="63" spans="2:9" ht="15" customHeight="1" x14ac:dyDescent="0.2">
      <c r="B63" t="s">
        <v>159</v>
      </c>
      <c r="C63" s="12">
        <v>25</v>
      </c>
      <c r="D63" s="8">
        <v>1.31</v>
      </c>
      <c r="E63" s="12">
        <v>12</v>
      </c>
      <c r="F63" s="8">
        <v>1.08</v>
      </c>
      <c r="G63" s="12">
        <v>13</v>
      </c>
      <c r="H63" s="8">
        <v>1.73</v>
      </c>
      <c r="I63" s="12">
        <v>0</v>
      </c>
    </row>
    <row r="64" spans="2:9" ht="15" customHeight="1" x14ac:dyDescent="0.2">
      <c r="B64" t="s">
        <v>139</v>
      </c>
      <c r="C64" s="12">
        <v>23</v>
      </c>
      <c r="D64" s="8">
        <v>1.2</v>
      </c>
      <c r="E64" s="12">
        <v>21</v>
      </c>
      <c r="F64" s="8">
        <v>1.9</v>
      </c>
      <c r="G64" s="12">
        <v>2</v>
      </c>
      <c r="H64" s="8">
        <v>0.27</v>
      </c>
      <c r="I64" s="12">
        <v>0</v>
      </c>
    </row>
    <row r="65" spans="2:9" ht="15" customHeight="1" x14ac:dyDescent="0.2">
      <c r="B65" t="s">
        <v>200</v>
      </c>
      <c r="C65" s="12">
        <v>23</v>
      </c>
      <c r="D65" s="8">
        <v>1.2</v>
      </c>
      <c r="E65" s="12">
        <v>1</v>
      </c>
      <c r="F65" s="8">
        <v>0.09</v>
      </c>
      <c r="G65" s="12">
        <v>3</v>
      </c>
      <c r="H65" s="8">
        <v>0.4</v>
      </c>
      <c r="I65" s="12">
        <v>0</v>
      </c>
    </row>
    <row r="66" spans="2:9" ht="15" customHeight="1" x14ac:dyDescent="0.2">
      <c r="B66" t="s">
        <v>151</v>
      </c>
      <c r="C66" s="12">
        <v>21</v>
      </c>
      <c r="D66" s="8">
        <v>1.1000000000000001</v>
      </c>
      <c r="E66" s="12">
        <v>16</v>
      </c>
      <c r="F66" s="8">
        <v>1.45</v>
      </c>
      <c r="G66" s="12">
        <v>4</v>
      </c>
      <c r="H66" s="8">
        <v>0.53</v>
      </c>
      <c r="I66" s="12">
        <v>1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6006-DF6F-4FD7-933C-11BDE25EDE4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257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74</v>
      </c>
      <c r="D6" s="8">
        <v>23.64</v>
      </c>
      <c r="E6" s="12">
        <v>25</v>
      </c>
      <c r="F6" s="8">
        <v>20.83</v>
      </c>
      <c r="G6" s="12">
        <v>49</v>
      </c>
      <c r="H6" s="8">
        <v>25.93</v>
      </c>
      <c r="I6" s="12">
        <v>0</v>
      </c>
    </row>
    <row r="7" spans="2:9" ht="15" customHeight="1" x14ac:dyDescent="0.2">
      <c r="B7" t="s">
        <v>53</v>
      </c>
      <c r="C7" s="12">
        <v>24</v>
      </c>
      <c r="D7" s="8">
        <v>7.67</v>
      </c>
      <c r="E7" s="12">
        <v>4</v>
      </c>
      <c r="F7" s="8">
        <v>3.33</v>
      </c>
      <c r="G7" s="12">
        <v>20</v>
      </c>
      <c r="H7" s="8">
        <v>10.58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3</v>
      </c>
      <c r="D9" s="8">
        <v>0.96</v>
      </c>
      <c r="E9" s="12">
        <v>0</v>
      </c>
      <c r="F9" s="8">
        <v>0</v>
      </c>
      <c r="G9" s="12">
        <v>3</v>
      </c>
      <c r="H9" s="8">
        <v>1.59</v>
      </c>
      <c r="I9" s="12">
        <v>0</v>
      </c>
    </row>
    <row r="10" spans="2:9" ht="15" customHeight="1" x14ac:dyDescent="0.2">
      <c r="B10" t="s">
        <v>56</v>
      </c>
      <c r="C10" s="12">
        <v>3</v>
      </c>
      <c r="D10" s="8">
        <v>0.96</v>
      </c>
      <c r="E10" s="12">
        <v>1</v>
      </c>
      <c r="F10" s="8">
        <v>0.83</v>
      </c>
      <c r="G10" s="12">
        <v>2</v>
      </c>
      <c r="H10" s="8">
        <v>1.06</v>
      </c>
      <c r="I10" s="12">
        <v>0</v>
      </c>
    </row>
    <row r="11" spans="2:9" ht="15" customHeight="1" x14ac:dyDescent="0.2">
      <c r="B11" t="s">
        <v>57</v>
      </c>
      <c r="C11" s="12">
        <v>54</v>
      </c>
      <c r="D11" s="8">
        <v>17.25</v>
      </c>
      <c r="E11" s="12">
        <v>23</v>
      </c>
      <c r="F11" s="8">
        <v>19.170000000000002</v>
      </c>
      <c r="G11" s="12">
        <v>31</v>
      </c>
      <c r="H11" s="8">
        <v>16.399999999999999</v>
      </c>
      <c r="I11" s="12">
        <v>0</v>
      </c>
    </row>
    <row r="12" spans="2:9" ht="15" customHeight="1" x14ac:dyDescent="0.2">
      <c r="B12" t="s">
        <v>58</v>
      </c>
      <c r="C12" s="12">
        <v>1</v>
      </c>
      <c r="D12" s="8">
        <v>0.32</v>
      </c>
      <c r="E12" s="12">
        <v>0</v>
      </c>
      <c r="F12" s="8">
        <v>0</v>
      </c>
      <c r="G12" s="12">
        <v>1</v>
      </c>
      <c r="H12" s="8">
        <v>0.53</v>
      </c>
      <c r="I12" s="12">
        <v>0</v>
      </c>
    </row>
    <row r="13" spans="2:9" ht="15" customHeight="1" x14ac:dyDescent="0.2">
      <c r="B13" t="s">
        <v>59</v>
      </c>
      <c r="C13" s="12">
        <v>12</v>
      </c>
      <c r="D13" s="8">
        <v>3.83</v>
      </c>
      <c r="E13" s="12">
        <v>1</v>
      </c>
      <c r="F13" s="8">
        <v>0.83</v>
      </c>
      <c r="G13" s="12">
        <v>11</v>
      </c>
      <c r="H13" s="8">
        <v>5.82</v>
      </c>
      <c r="I13" s="12">
        <v>0</v>
      </c>
    </row>
    <row r="14" spans="2:9" ht="15" customHeight="1" x14ac:dyDescent="0.2">
      <c r="B14" t="s">
        <v>60</v>
      </c>
      <c r="C14" s="12">
        <v>21</v>
      </c>
      <c r="D14" s="8">
        <v>6.71</v>
      </c>
      <c r="E14" s="12">
        <v>10</v>
      </c>
      <c r="F14" s="8">
        <v>8.33</v>
      </c>
      <c r="G14" s="12">
        <v>11</v>
      </c>
      <c r="H14" s="8">
        <v>5.82</v>
      </c>
      <c r="I14" s="12">
        <v>0</v>
      </c>
    </row>
    <row r="15" spans="2:9" ht="15" customHeight="1" x14ac:dyDescent="0.2">
      <c r="B15" t="s">
        <v>61</v>
      </c>
      <c r="C15" s="12">
        <v>34</v>
      </c>
      <c r="D15" s="8">
        <v>10.86</v>
      </c>
      <c r="E15" s="12">
        <v>20</v>
      </c>
      <c r="F15" s="8">
        <v>16.670000000000002</v>
      </c>
      <c r="G15" s="12">
        <v>14</v>
      </c>
      <c r="H15" s="8">
        <v>7.41</v>
      </c>
      <c r="I15" s="12">
        <v>0</v>
      </c>
    </row>
    <row r="16" spans="2:9" ht="15" customHeight="1" x14ac:dyDescent="0.2">
      <c r="B16" t="s">
        <v>62</v>
      </c>
      <c r="C16" s="12">
        <v>37</v>
      </c>
      <c r="D16" s="8">
        <v>11.82</v>
      </c>
      <c r="E16" s="12">
        <v>20</v>
      </c>
      <c r="F16" s="8">
        <v>16.670000000000002</v>
      </c>
      <c r="G16" s="12">
        <v>16</v>
      </c>
      <c r="H16" s="8">
        <v>8.4700000000000006</v>
      </c>
      <c r="I16" s="12">
        <v>0</v>
      </c>
    </row>
    <row r="17" spans="2:9" ht="15" customHeight="1" x14ac:dyDescent="0.2">
      <c r="B17" t="s">
        <v>63</v>
      </c>
      <c r="C17" s="12">
        <v>17</v>
      </c>
      <c r="D17" s="8">
        <v>5.43</v>
      </c>
      <c r="E17" s="12">
        <v>5</v>
      </c>
      <c r="F17" s="8">
        <v>4.17</v>
      </c>
      <c r="G17" s="12">
        <v>9</v>
      </c>
      <c r="H17" s="8">
        <v>4.76</v>
      </c>
      <c r="I17" s="12">
        <v>0</v>
      </c>
    </row>
    <row r="18" spans="2:9" ht="15" customHeight="1" x14ac:dyDescent="0.2">
      <c r="B18" t="s">
        <v>64</v>
      </c>
      <c r="C18" s="12">
        <v>13</v>
      </c>
      <c r="D18" s="8">
        <v>4.1500000000000004</v>
      </c>
      <c r="E18" s="12">
        <v>6</v>
      </c>
      <c r="F18" s="8">
        <v>5</v>
      </c>
      <c r="G18" s="12">
        <v>7</v>
      </c>
      <c r="H18" s="8">
        <v>3.7</v>
      </c>
      <c r="I18" s="12">
        <v>0</v>
      </c>
    </row>
    <row r="19" spans="2:9" ht="15" customHeight="1" x14ac:dyDescent="0.2">
      <c r="B19" t="s">
        <v>65</v>
      </c>
      <c r="C19" s="12">
        <v>20</v>
      </c>
      <c r="D19" s="8">
        <v>6.39</v>
      </c>
      <c r="E19" s="12">
        <v>5</v>
      </c>
      <c r="F19" s="8">
        <v>4.17</v>
      </c>
      <c r="G19" s="12">
        <v>15</v>
      </c>
      <c r="H19" s="8">
        <v>7.94</v>
      </c>
      <c r="I19" s="12">
        <v>0</v>
      </c>
    </row>
    <row r="20" spans="2:9" ht="15" customHeight="1" x14ac:dyDescent="0.2">
      <c r="B20" s="9" t="s">
        <v>215</v>
      </c>
      <c r="C20" s="12">
        <f>SUM(LTBL_28301[総数／事業所数])</f>
        <v>313</v>
      </c>
      <c r="E20" s="12">
        <f>SUBTOTAL(109,LTBL_28301[個人／事業所数])</f>
        <v>120</v>
      </c>
      <c r="G20" s="12">
        <f>SUBTOTAL(109,LTBL_28301[法人／事業所数])</f>
        <v>189</v>
      </c>
      <c r="I20" s="12">
        <f>SUBTOTAL(109,LTBL_28301[法人以外の団体／事業所数])</f>
        <v>0</v>
      </c>
    </row>
    <row r="21" spans="2:9" ht="15" customHeight="1" x14ac:dyDescent="0.2">
      <c r="E21" s="11">
        <f>LTBL_28301[[#Totals],[個人／事業所数]]/LTBL_28301[[#Totals],[総数／事業所数]]</f>
        <v>0.38338658146964855</v>
      </c>
      <c r="G21" s="11">
        <f>LTBL_28301[[#Totals],[法人／事業所数]]/LTBL_28301[[#Totals],[総数／事業所数]]</f>
        <v>0.60383386581469645</v>
      </c>
      <c r="I21" s="11">
        <f>LTBL_28301[[#Totals],[法人以外の団体／事業所数]]/LTBL_28301[[#Totals],[総数／事業所数]]</f>
        <v>0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33</v>
      </c>
      <c r="D24" s="8">
        <v>10.54</v>
      </c>
      <c r="E24" s="12">
        <v>7</v>
      </c>
      <c r="F24" s="8">
        <v>5.83</v>
      </c>
      <c r="G24" s="12">
        <v>26</v>
      </c>
      <c r="H24" s="8">
        <v>13.76</v>
      </c>
      <c r="I24" s="12">
        <v>0</v>
      </c>
    </row>
    <row r="25" spans="2:9" ht="15" customHeight="1" x14ac:dyDescent="0.2">
      <c r="B25" t="s">
        <v>88</v>
      </c>
      <c r="C25" s="12">
        <v>29</v>
      </c>
      <c r="D25" s="8">
        <v>9.27</v>
      </c>
      <c r="E25" s="12">
        <v>19</v>
      </c>
      <c r="F25" s="8">
        <v>15.83</v>
      </c>
      <c r="G25" s="12">
        <v>10</v>
      </c>
      <c r="H25" s="8">
        <v>5.29</v>
      </c>
      <c r="I25" s="12">
        <v>0</v>
      </c>
    </row>
    <row r="26" spans="2:9" ht="15" customHeight="1" x14ac:dyDescent="0.2">
      <c r="B26" t="s">
        <v>75</v>
      </c>
      <c r="C26" s="12">
        <v>23</v>
      </c>
      <c r="D26" s="8">
        <v>7.35</v>
      </c>
      <c r="E26" s="12">
        <v>11</v>
      </c>
      <c r="F26" s="8">
        <v>9.17</v>
      </c>
      <c r="G26" s="12">
        <v>12</v>
      </c>
      <c r="H26" s="8">
        <v>6.35</v>
      </c>
      <c r="I26" s="12">
        <v>0</v>
      </c>
    </row>
    <row r="27" spans="2:9" ht="15" customHeight="1" x14ac:dyDescent="0.2">
      <c r="B27" t="s">
        <v>89</v>
      </c>
      <c r="C27" s="12">
        <v>21</v>
      </c>
      <c r="D27" s="8">
        <v>6.71</v>
      </c>
      <c r="E27" s="12">
        <v>17</v>
      </c>
      <c r="F27" s="8">
        <v>14.17</v>
      </c>
      <c r="G27" s="12">
        <v>4</v>
      </c>
      <c r="H27" s="8">
        <v>2.12</v>
      </c>
      <c r="I27" s="12">
        <v>0</v>
      </c>
    </row>
    <row r="28" spans="2:9" ht="15" customHeight="1" x14ac:dyDescent="0.2">
      <c r="B28" t="s">
        <v>76</v>
      </c>
      <c r="C28" s="12">
        <v>18</v>
      </c>
      <c r="D28" s="8">
        <v>5.75</v>
      </c>
      <c r="E28" s="12">
        <v>7</v>
      </c>
      <c r="F28" s="8">
        <v>5.83</v>
      </c>
      <c r="G28" s="12">
        <v>11</v>
      </c>
      <c r="H28" s="8">
        <v>5.82</v>
      </c>
      <c r="I28" s="12">
        <v>0</v>
      </c>
    </row>
    <row r="29" spans="2:9" ht="15" customHeight="1" x14ac:dyDescent="0.2">
      <c r="B29" t="s">
        <v>91</v>
      </c>
      <c r="C29" s="12">
        <v>17</v>
      </c>
      <c r="D29" s="8">
        <v>5.43</v>
      </c>
      <c r="E29" s="12">
        <v>5</v>
      </c>
      <c r="F29" s="8">
        <v>4.17</v>
      </c>
      <c r="G29" s="12">
        <v>9</v>
      </c>
      <c r="H29" s="8">
        <v>4.76</v>
      </c>
      <c r="I29" s="12">
        <v>0</v>
      </c>
    </row>
    <row r="30" spans="2:9" ht="15" customHeight="1" x14ac:dyDescent="0.2">
      <c r="B30" t="s">
        <v>90</v>
      </c>
      <c r="C30" s="12">
        <v>13</v>
      </c>
      <c r="D30" s="8">
        <v>4.1500000000000004</v>
      </c>
      <c r="E30" s="12">
        <v>3</v>
      </c>
      <c r="F30" s="8">
        <v>2.5</v>
      </c>
      <c r="G30" s="12">
        <v>10</v>
      </c>
      <c r="H30" s="8">
        <v>5.29</v>
      </c>
      <c r="I30" s="12">
        <v>0</v>
      </c>
    </row>
    <row r="31" spans="2:9" ht="15" customHeight="1" x14ac:dyDescent="0.2">
      <c r="B31" t="s">
        <v>86</v>
      </c>
      <c r="C31" s="12">
        <v>12</v>
      </c>
      <c r="D31" s="8">
        <v>3.83</v>
      </c>
      <c r="E31" s="12">
        <v>6</v>
      </c>
      <c r="F31" s="8">
        <v>5</v>
      </c>
      <c r="G31" s="12">
        <v>6</v>
      </c>
      <c r="H31" s="8">
        <v>3.17</v>
      </c>
      <c r="I31" s="12">
        <v>0</v>
      </c>
    </row>
    <row r="32" spans="2:9" ht="15" customHeight="1" x14ac:dyDescent="0.2">
      <c r="B32" t="s">
        <v>81</v>
      </c>
      <c r="C32" s="12">
        <v>11</v>
      </c>
      <c r="D32" s="8">
        <v>3.51</v>
      </c>
      <c r="E32" s="12">
        <v>10</v>
      </c>
      <c r="F32" s="8">
        <v>8.33</v>
      </c>
      <c r="G32" s="12">
        <v>1</v>
      </c>
      <c r="H32" s="8">
        <v>0.53</v>
      </c>
      <c r="I32" s="12">
        <v>0</v>
      </c>
    </row>
    <row r="33" spans="2:9" ht="15" customHeight="1" x14ac:dyDescent="0.2">
      <c r="B33" t="s">
        <v>83</v>
      </c>
      <c r="C33" s="12">
        <v>10</v>
      </c>
      <c r="D33" s="8">
        <v>3.19</v>
      </c>
      <c r="E33" s="12">
        <v>4</v>
      </c>
      <c r="F33" s="8">
        <v>3.33</v>
      </c>
      <c r="G33" s="12">
        <v>6</v>
      </c>
      <c r="H33" s="8">
        <v>3.17</v>
      </c>
      <c r="I33" s="12">
        <v>0</v>
      </c>
    </row>
    <row r="34" spans="2:9" ht="15" customHeight="1" x14ac:dyDescent="0.2">
      <c r="B34" t="s">
        <v>78</v>
      </c>
      <c r="C34" s="12">
        <v>9</v>
      </c>
      <c r="D34" s="8">
        <v>2.88</v>
      </c>
      <c r="E34" s="12">
        <v>1</v>
      </c>
      <c r="F34" s="8">
        <v>0.83</v>
      </c>
      <c r="G34" s="12">
        <v>8</v>
      </c>
      <c r="H34" s="8">
        <v>4.2300000000000004</v>
      </c>
      <c r="I34" s="12">
        <v>0</v>
      </c>
    </row>
    <row r="35" spans="2:9" ht="15" customHeight="1" x14ac:dyDescent="0.2">
      <c r="B35" t="s">
        <v>82</v>
      </c>
      <c r="C35" s="12">
        <v>8</v>
      </c>
      <c r="D35" s="8">
        <v>2.56</v>
      </c>
      <c r="E35" s="12">
        <v>3</v>
      </c>
      <c r="F35" s="8">
        <v>2.5</v>
      </c>
      <c r="G35" s="12">
        <v>5</v>
      </c>
      <c r="H35" s="8">
        <v>2.65</v>
      </c>
      <c r="I35" s="12">
        <v>0</v>
      </c>
    </row>
    <row r="36" spans="2:9" ht="15" customHeight="1" x14ac:dyDescent="0.2">
      <c r="B36" t="s">
        <v>85</v>
      </c>
      <c r="C36" s="12">
        <v>8</v>
      </c>
      <c r="D36" s="8">
        <v>2.56</v>
      </c>
      <c r="E36" s="12">
        <v>0</v>
      </c>
      <c r="F36" s="8">
        <v>0</v>
      </c>
      <c r="G36" s="12">
        <v>8</v>
      </c>
      <c r="H36" s="8">
        <v>4.2300000000000004</v>
      </c>
      <c r="I36" s="12">
        <v>0</v>
      </c>
    </row>
    <row r="37" spans="2:9" ht="15" customHeight="1" x14ac:dyDescent="0.2">
      <c r="B37" t="s">
        <v>87</v>
      </c>
      <c r="C37" s="12">
        <v>8</v>
      </c>
      <c r="D37" s="8">
        <v>2.56</v>
      </c>
      <c r="E37" s="12">
        <v>4</v>
      </c>
      <c r="F37" s="8">
        <v>3.33</v>
      </c>
      <c r="G37" s="12">
        <v>4</v>
      </c>
      <c r="H37" s="8">
        <v>2.12</v>
      </c>
      <c r="I37" s="12">
        <v>0</v>
      </c>
    </row>
    <row r="38" spans="2:9" ht="15" customHeight="1" x14ac:dyDescent="0.2">
      <c r="B38" t="s">
        <v>92</v>
      </c>
      <c r="C38" s="12">
        <v>7</v>
      </c>
      <c r="D38" s="8">
        <v>2.2400000000000002</v>
      </c>
      <c r="E38" s="12">
        <v>6</v>
      </c>
      <c r="F38" s="8">
        <v>5</v>
      </c>
      <c r="G38" s="12">
        <v>1</v>
      </c>
      <c r="H38" s="8">
        <v>0.53</v>
      </c>
      <c r="I38" s="12">
        <v>0</v>
      </c>
    </row>
    <row r="39" spans="2:9" ht="15" customHeight="1" x14ac:dyDescent="0.2">
      <c r="B39" t="s">
        <v>94</v>
      </c>
      <c r="C39" s="12">
        <v>7</v>
      </c>
      <c r="D39" s="8">
        <v>2.2400000000000002</v>
      </c>
      <c r="E39" s="12">
        <v>0</v>
      </c>
      <c r="F39" s="8">
        <v>0</v>
      </c>
      <c r="G39" s="12">
        <v>7</v>
      </c>
      <c r="H39" s="8">
        <v>3.7</v>
      </c>
      <c r="I39" s="12">
        <v>0</v>
      </c>
    </row>
    <row r="40" spans="2:9" ht="15" customHeight="1" x14ac:dyDescent="0.2">
      <c r="B40" t="s">
        <v>93</v>
      </c>
      <c r="C40" s="12">
        <v>6</v>
      </c>
      <c r="D40" s="8">
        <v>1.92</v>
      </c>
      <c r="E40" s="12">
        <v>0</v>
      </c>
      <c r="F40" s="8">
        <v>0</v>
      </c>
      <c r="G40" s="12">
        <v>6</v>
      </c>
      <c r="H40" s="8">
        <v>3.17</v>
      </c>
      <c r="I40" s="12">
        <v>0</v>
      </c>
    </row>
    <row r="41" spans="2:9" ht="15" customHeight="1" x14ac:dyDescent="0.2">
      <c r="B41" t="s">
        <v>97</v>
      </c>
      <c r="C41" s="12">
        <v>5</v>
      </c>
      <c r="D41" s="8">
        <v>1.6</v>
      </c>
      <c r="E41" s="12">
        <v>1</v>
      </c>
      <c r="F41" s="8">
        <v>0.83</v>
      </c>
      <c r="G41" s="12">
        <v>4</v>
      </c>
      <c r="H41" s="8">
        <v>2.12</v>
      </c>
      <c r="I41" s="12">
        <v>0</v>
      </c>
    </row>
    <row r="42" spans="2:9" ht="15" customHeight="1" x14ac:dyDescent="0.2">
      <c r="B42" t="s">
        <v>80</v>
      </c>
      <c r="C42" s="12">
        <v>5</v>
      </c>
      <c r="D42" s="8">
        <v>1.6</v>
      </c>
      <c r="E42" s="12">
        <v>0</v>
      </c>
      <c r="F42" s="8">
        <v>0</v>
      </c>
      <c r="G42" s="12">
        <v>5</v>
      </c>
      <c r="H42" s="8">
        <v>2.65</v>
      </c>
      <c r="I42" s="12">
        <v>0</v>
      </c>
    </row>
    <row r="43" spans="2:9" ht="15" customHeight="1" x14ac:dyDescent="0.2">
      <c r="B43" t="s">
        <v>118</v>
      </c>
      <c r="C43" s="12">
        <v>5</v>
      </c>
      <c r="D43" s="8">
        <v>1.6</v>
      </c>
      <c r="E43" s="12">
        <v>0</v>
      </c>
      <c r="F43" s="8">
        <v>0</v>
      </c>
      <c r="G43" s="12">
        <v>5</v>
      </c>
      <c r="H43" s="8">
        <v>2.65</v>
      </c>
      <c r="I43" s="12">
        <v>0</v>
      </c>
    </row>
    <row r="44" spans="2:9" ht="15" customHeight="1" x14ac:dyDescent="0.2">
      <c r="B44" t="s">
        <v>104</v>
      </c>
      <c r="C44" s="12">
        <v>5</v>
      </c>
      <c r="D44" s="8">
        <v>1.6</v>
      </c>
      <c r="E44" s="12">
        <v>4</v>
      </c>
      <c r="F44" s="8">
        <v>3.33</v>
      </c>
      <c r="G44" s="12">
        <v>1</v>
      </c>
      <c r="H44" s="8">
        <v>0.53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122</v>
      </c>
      <c r="C48" s="12">
        <v>17</v>
      </c>
      <c r="D48" s="8">
        <v>5.43</v>
      </c>
      <c r="E48" s="12">
        <v>3</v>
      </c>
      <c r="F48" s="8">
        <v>2.5</v>
      </c>
      <c r="G48" s="12">
        <v>14</v>
      </c>
      <c r="H48" s="8">
        <v>7.41</v>
      </c>
      <c r="I48" s="12">
        <v>0</v>
      </c>
    </row>
    <row r="49" spans="2:9" ht="15" customHeight="1" x14ac:dyDescent="0.2">
      <c r="B49" t="s">
        <v>138</v>
      </c>
      <c r="C49" s="12">
        <v>10</v>
      </c>
      <c r="D49" s="8">
        <v>3.19</v>
      </c>
      <c r="E49" s="12">
        <v>9</v>
      </c>
      <c r="F49" s="8">
        <v>7.5</v>
      </c>
      <c r="G49" s="12">
        <v>1</v>
      </c>
      <c r="H49" s="8">
        <v>0.53</v>
      </c>
      <c r="I49" s="12">
        <v>0</v>
      </c>
    </row>
    <row r="50" spans="2:9" ht="15" customHeight="1" x14ac:dyDescent="0.2">
      <c r="B50" t="s">
        <v>140</v>
      </c>
      <c r="C50" s="12">
        <v>10</v>
      </c>
      <c r="D50" s="8">
        <v>3.19</v>
      </c>
      <c r="E50" s="12">
        <v>5</v>
      </c>
      <c r="F50" s="8">
        <v>4.17</v>
      </c>
      <c r="G50" s="12">
        <v>5</v>
      </c>
      <c r="H50" s="8">
        <v>2.65</v>
      </c>
      <c r="I50" s="12">
        <v>0</v>
      </c>
    </row>
    <row r="51" spans="2:9" ht="15" customHeight="1" x14ac:dyDescent="0.2">
      <c r="B51" t="s">
        <v>123</v>
      </c>
      <c r="C51" s="12">
        <v>8</v>
      </c>
      <c r="D51" s="8">
        <v>2.56</v>
      </c>
      <c r="E51" s="12">
        <v>2</v>
      </c>
      <c r="F51" s="8">
        <v>1.67</v>
      </c>
      <c r="G51" s="12">
        <v>6</v>
      </c>
      <c r="H51" s="8">
        <v>3.17</v>
      </c>
      <c r="I51" s="12">
        <v>0</v>
      </c>
    </row>
    <row r="52" spans="2:9" ht="15" customHeight="1" x14ac:dyDescent="0.2">
      <c r="B52" t="s">
        <v>159</v>
      </c>
      <c r="C52" s="12">
        <v>8</v>
      </c>
      <c r="D52" s="8">
        <v>2.56</v>
      </c>
      <c r="E52" s="12">
        <v>2</v>
      </c>
      <c r="F52" s="8">
        <v>1.67</v>
      </c>
      <c r="G52" s="12">
        <v>6</v>
      </c>
      <c r="H52" s="8">
        <v>3.17</v>
      </c>
      <c r="I52" s="12">
        <v>0</v>
      </c>
    </row>
    <row r="53" spans="2:9" ht="15" customHeight="1" x14ac:dyDescent="0.2">
      <c r="B53" t="s">
        <v>136</v>
      </c>
      <c r="C53" s="12">
        <v>8</v>
      </c>
      <c r="D53" s="8">
        <v>2.56</v>
      </c>
      <c r="E53" s="12">
        <v>7</v>
      </c>
      <c r="F53" s="8">
        <v>5.83</v>
      </c>
      <c r="G53" s="12">
        <v>1</v>
      </c>
      <c r="H53" s="8">
        <v>0.53</v>
      </c>
      <c r="I53" s="12">
        <v>0</v>
      </c>
    </row>
    <row r="54" spans="2:9" ht="15" customHeight="1" x14ac:dyDescent="0.2">
      <c r="B54" t="s">
        <v>124</v>
      </c>
      <c r="C54" s="12">
        <v>7</v>
      </c>
      <c r="D54" s="8">
        <v>2.2400000000000002</v>
      </c>
      <c r="E54" s="12">
        <v>4</v>
      </c>
      <c r="F54" s="8">
        <v>3.33</v>
      </c>
      <c r="G54" s="12">
        <v>3</v>
      </c>
      <c r="H54" s="8">
        <v>1.59</v>
      </c>
      <c r="I54" s="12">
        <v>0</v>
      </c>
    </row>
    <row r="55" spans="2:9" ht="15" customHeight="1" x14ac:dyDescent="0.2">
      <c r="B55" t="s">
        <v>132</v>
      </c>
      <c r="C55" s="12">
        <v>7</v>
      </c>
      <c r="D55" s="8">
        <v>2.2400000000000002</v>
      </c>
      <c r="E55" s="12">
        <v>0</v>
      </c>
      <c r="F55" s="8">
        <v>0</v>
      </c>
      <c r="G55" s="12">
        <v>7</v>
      </c>
      <c r="H55" s="8">
        <v>3.7</v>
      </c>
      <c r="I55" s="12">
        <v>0</v>
      </c>
    </row>
    <row r="56" spans="2:9" ht="15" customHeight="1" x14ac:dyDescent="0.2">
      <c r="B56" t="s">
        <v>133</v>
      </c>
      <c r="C56" s="12">
        <v>7</v>
      </c>
      <c r="D56" s="8">
        <v>2.2400000000000002</v>
      </c>
      <c r="E56" s="12">
        <v>4</v>
      </c>
      <c r="F56" s="8">
        <v>3.33</v>
      </c>
      <c r="G56" s="12">
        <v>3</v>
      </c>
      <c r="H56" s="8">
        <v>1.59</v>
      </c>
      <c r="I56" s="12">
        <v>0</v>
      </c>
    </row>
    <row r="57" spans="2:9" ht="15" customHeight="1" x14ac:dyDescent="0.2">
      <c r="B57" t="s">
        <v>202</v>
      </c>
      <c r="C57" s="12">
        <v>7</v>
      </c>
      <c r="D57" s="8">
        <v>2.2400000000000002</v>
      </c>
      <c r="E57" s="12">
        <v>2</v>
      </c>
      <c r="F57" s="8">
        <v>1.67</v>
      </c>
      <c r="G57" s="12">
        <v>5</v>
      </c>
      <c r="H57" s="8">
        <v>2.65</v>
      </c>
      <c r="I57" s="12">
        <v>0</v>
      </c>
    </row>
    <row r="58" spans="2:9" ht="15" customHeight="1" x14ac:dyDescent="0.2">
      <c r="B58" t="s">
        <v>186</v>
      </c>
      <c r="C58" s="12">
        <v>6</v>
      </c>
      <c r="D58" s="8">
        <v>1.92</v>
      </c>
      <c r="E58" s="12">
        <v>3</v>
      </c>
      <c r="F58" s="8">
        <v>2.5</v>
      </c>
      <c r="G58" s="12">
        <v>3</v>
      </c>
      <c r="H58" s="8">
        <v>1.59</v>
      </c>
      <c r="I58" s="12">
        <v>0</v>
      </c>
    </row>
    <row r="59" spans="2:9" ht="15" customHeight="1" x14ac:dyDescent="0.2">
      <c r="B59" t="s">
        <v>127</v>
      </c>
      <c r="C59" s="12">
        <v>6</v>
      </c>
      <c r="D59" s="8">
        <v>1.92</v>
      </c>
      <c r="E59" s="12">
        <v>3</v>
      </c>
      <c r="F59" s="8">
        <v>2.5</v>
      </c>
      <c r="G59" s="12">
        <v>3</v>
      </c>
      <c r="H59" s="8">
        <v>1.59</v>
      </c>
      <c r="I59" s="12">
        <v>0</v>
      </c>
    </row>
    <row r="60" spans="2:9" ht="15" customHeight="1" x14ac:dyDescent="0.2">
      <c r="B60" t="s">
        <v>137</v>
      </c>
      <c r="C60" s="12">
        <v>6</v>
      </c>
      <c r="D60" s="8">
        <v>1.92</v>
      </c>
      <c r="E60" s="12">
        <v>6</v>
      </c>
      <c r="F60" s="8">
        <v>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150</v>
      </c>
      <c r="C61" s="12">
        <v>5</v>
      </c>
      <c r="D61" s="8">
        <v>1.6</v>
      </c>
      <c r="E61" s="12">
        <v>1</v>
      </c>
      <c r="F61" s="8">
        <v>0.83</v>
      </c>
      <c r="G61" s="12">
        <v>4</v>
      </c>
      <c r="H61" s="8">
        <v>2.12</v>
      </c>
      <c r="I61" s="12">
        <v>0</v>
      </c>
    </row>
    <row r="62" spans="2:9" ht="15" customHeight="1" x14ac:dyDescent="0.2">
      <c r="B62" t="s">
        <v>201</v>
      </c>
      <c r="C62" s="12">
        <v>5</v>
      </c>
      <c r="D62" s="8">
        <v>1.6</v>
      </c>
      <c r="E62" s="12">
        <v>1</v>
      </c>
      <c r="F62" s="8">
        <v>0.83</v>
      </c>
      <c r="G62" s="12">
        <v>4</v>
      </c>
      <c r="H62" s="8">
        <v>2.12</v>
      </c>
      <c r="I62" s="12">
        <v>0</v>
      </c>
    </row>
    <row r="63" spans="2:9" ht="15" customHeight="1" x14ac:dyDescent="0.2">
      <c r="B63" t="s">
        <v>151</v>
      </c>
      <c r="C63" s="12">
        <v>5</v>
      </c>
      <c r="D63" s="8">
        <v>1.6</v>
      </c>
      <c r="E63" s="12">
        <v>4</v>
      </c>
      <c r="F63" s="8">
        <v>3.33</v>
      </c>
      <c r="G63" s="12">
        <v>1</v>
      </c>
      <c r="H63" s="8">
        <v>0.53</v>
      </c>
      <c r="I63" s="12">
        <v>0</v>
      </c>
    </row>
    <row r="64" spans="2:9" ht="15" customHeight="1" x14ac:dyDescent="0.2">
      <c r="B64" t="s">
        <v>129</v>
      </c>
      <c r="C64" s="12">
        <v>5</v>
      </c>
      <c r="D64" s="8">
        <v>1.6</v>
      </c>
      <c r="E64" s="12">
        <v>3</v>
      </c>
      <c r="F64" s="8">
        <v>2.5</v>
      </c>
      <c r="G64" s="12">
        <v>2</v>
      </c>
      <c r="H64" s="8">
        <v>1.06</v>
      </c>
      <c r="I64" s="12">
        <v>0</v>
      </c>
    </row>
    <row r="65" spans="2:9" ht="15" customHeight="1" x14ac:dyDescent="0.2">
      <c r="B65" t="s">
        <v>147</v>
      </c>
      <c r="C65" s="12">
        <v>5</v>
      </c>
      <c r="D65" s="8">
        <v>1.6</v>
      </c>
      <c r="E65" s="12">
        <v>0</v>
      </c>
      <c r="F65" s="8">
        <v>0</v>
      </c>
      <c r="G65" s="12">
        <v>5</v>
      </c>
      <c r="H65" s="8">
        <v>2.65</v>
      </c>
      <c r="I65" s="12">
        <v>0</v>
      </c>
    </row>
    <row r="66" spans="2:9" ht="15" customHeight="1" x14ac:dyDescent="0.2">
      <c r="B66" t="s">
        <v>144</v>
      </c>
      <c r="C66" s="12">
        <v>5</v>
      </c>
      <c r="D66" s="8">
        <v>1.6</v>
      </c>
      <c r="E66" s="12">
        <v>2</v>
      </c>
      <c r="F66" s="8">
        <v>1.67</v>
      </c>
      <c r="G66" s="12">
        <v>3</v>
      </c>
      <c r="H66" s="8">
        <v>1.59</v>
      </c>
      <c r="I66" s="12">
        <v>0</v>
      </c>
    </row>
    <row r="67" spans="2:9" ht="15" customHeight="1" x14ac:dyDescent="0.2">
      <c r="B67" t="s">
        <v>165</v>
      </c>
      <c r="C67" s="12">
        <v>5</v>
      </c>
      <c r="D67" s="8">
        <v>1.6</v>
      </c>
      <c r="E67" s="12">
        <v>4</v>
      </c>
      <c r="F67" s="8">
        <v>3.33</v>
      </c>
      <c r="G67" s="12">
        <v>1</v>
      </c>
      <c r="H67" s="8">
        <v>0.53</v>
      </c>
      <c r="I67" s="12">
        <v>0</v>
      </c>
    </row>
    <row r="68" spans="2:9" ht="15" customHeight="1" x14ac:dyDescent="0.2">
      <c r="B68" t="s">
        <v>149</v>
      </c>
      <c r="C68" s="12">
        <v>5</v>
      </c>
      <c r="D68" s="8">
        <v>1.6</v>
      </c>
      <c r="E68" s="12">
        <v>0</v>
      </c>
      <c r="F68" s="8">
        <v>0</v>
      </c>
      <c r="G68" s="12">
        <v>5</v>
      </c>
      <c r="H68" s="8">
        <v>2.65</v>
      </c>
      <c r="I68" s="12">
        <v>0</v>
      </c>
    </row>
    <row r="70" spans="2:9" ht="15" customHeight="1" x14ac:dyDescent="0.2">
      <c r="B70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8FBDE-7ACF-4A7E-A422-7E08C39D5D9E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258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141</v>
      </c>
      <c r="D6" s="8">
        <v>20.03</v>
      </c>
      <c r="E6" s="12">
        <v>100</v>
      </c>
      <c r="F6" s="8">
        <v>20.83</v>
      </c>
      <c r="G6" s="12">
        <v>41</v>
      </c>
      <c r="H6" s="8">
        <v>18.47</v>
      </c>
      <c r="I6" s="12">
        <v>0</v>
      </c>
    </row>
    <row r="7" spans="2:9" ht="15" customHeight="1" x14ac:dyDescent="0.2">
      <c r="B7" t="s">
        <v>53</v>
      </c>
      <c r="C7" s="12">
        <v>236</v>
      </c>
      <c r="D7" s="8">
        <v>33.520000000000003</v>
      </c>
      <c r="E7" s="12">
        <v>141</v>
      </c>
      <c r="F7" s="8">
        <v>29.38</v>
      </c>
      <c r="G7" s="12">
        <v>95</v>
      </c>
      <c r="H7" s="8">
        <v>42.79</v>
      </c>
      <c r="I7" s="12">
        <v>0</v>
      </c>
    </row>
    <row r="8" spans="2:9" ht="15" customHeight="1" x14ac:dyDescent="0.2">
      <c r="B8" t="s">
        <v>54</v>
      </c>
      <c r="C8" s="12">
        <v>3</v>
      </c>
      <c r="D8" s="8">
        <v>0.43</v>
      </c>
      <c r="E8" s="12">
        <v>0</v>
      </c>
      <c r="F8" s="8">
        <v>0</v>
      </c>
      <c r="G8" s="12">
        <v>3</v>
      </c>
      <c r="H8" s="8">
        <v>1.35</v>
      </c>
      <c r="I8" s="12">
        <v>0</v>
      </c>
    </row>
    <row r="9" spans="2:9" ht="15" customHeight="1" x14ac:dyDescent="0.2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7</v>
      </c>
      <c r="D10" s="8">
        <v>0.99</v>
      </c>
      <c r="E10" s="12">
        <v>3</v>
      </c>
      <c r="F10" s="8">
        <v>0.63</v>
      </c>
      <c r="G10" s="12">
        <v>4</v>
      </c>
      <c r="H10" s="8">
        <v>1.8</v>
      </c>
      <c r="I10" s="12">
        <v>0</v>
      </c>
    </row>
    <row r="11" spans="2:9" ht="15" customHeight="1" x14ac:dyDescent="0.2">
      <c r="B11" t="s">
        <v>57</v>
      </c>
      <c r="C11" s="12">
        <v>131</v>
      </c>
      <c r="D11" s="8">
        <v>18.61</v>
      </c>
      <c r="E11" s="12">
        <v>91</v>
      </c>
      <c r="F11" s="8">
        <v>18.96</v>
      </c>
      <c r="G11" s="12">
        <v>40</v>
      </c>
      <c r="H11" s="8">
        <v>18.02</v>
      </c>
      <c r="I11" s="12">
        <v>0</v>
      </c>
    </row>
    <row r="12" spans="2:9" ht="15" customHeight="1" x14ac:dyDescent="0.2">
      <c r="B12" t="s">
        <v>58</v>
      </c>
      <c r="C12" s="12">
        <v>3</v>
      </c>
      <c r="D12" s="8">
        <v>0.43</v>
      </c>
      <c r="E12" s="12">
        <v>1</v>
      </c>
      <c r="F12" s="8">
        <v>0.21</v>
      </c>
      <c r="G12" s="12">
        <v>2</v>
      </c>
      <c r="H12" s="8">
        <v>0.9</v>
      </c>
      <c r="I12" s="12">
        <v>0</v>
      </c>
    </row>
    <row r="13" spans="2:9" ht="15" customHeight="1" x14ac:dyDescent="0.2">
      <c r="B13" t="s">
        <v>59</v>
      </c>
      <c r="C13" s="12">
        <v>11</v>
      </c>
      <c r="D13" s="8">
        <v>1.56</v>
      </c>
      <c r="E13" s="12">
        <v>3</v>
      </c>
      <c r="F13" s="8">
        <v>0.63</v>
      </c>
      <c r="G13" s="12">
        <v>8</v>
      </c>
      <c r="H13" s="8">
        <v>3.6</v>
      </c>
      <c r="I13" s="12">
        <v>0</v>
      </c>
    </row>
    <row r="14" spans="2:9" ht="15" customHeight="1" x14ac:dyDescent="0.2">
      <c r="B14" t="s">
        <v>60</v>
      </c>
      <c r="C14" s="12">
        <v>22</v>
      </c>
      <c r="D14" s="8">
        <v>3.13</v>
      </c>
      <c r="E14" s="12">
        <v>18</v>
      </c>
      <c r="F14" s="8">
        <v>3.75</v>
      </c>
      <c r="G14" s="12">
        <v>4</v>
      </c>
      <c r="H14" s="8">
        <v>1.8</v>
      </c>
      <c r="I14" s="12">
        <v>0</v>
      </c>
    </row>
    <row r="15" spans="2:9" ht="15" customHeight="1" x14ac:dyDescent="0.2">
      <c r="B15" t="s">
        <v>61</v>
      </c>
      <c r="C15" s="12">
        <v>39</v>
      </c>
      <c r="D15" s="8">
        <v>5.54</v>
      </c>
      <c r="E15" s="12">
        <v>37</v>
      </c>
      <c r="F15" s="8">
        <v>7.71</v>
      </c>
      <c r="G15" s="12">
        <v>1</v>
      </c>
      <c r="H15" s="8">
        <v>0.45</v>
      </c>
      <c r="I15" s="12">
        <v>0</v>
      </c>
    </row>
    <row r="16" spans="2:9" ht="15" customHeight="1" x14ac:dyDescent="0.2">
      <c r="B16" t="s">
        <v>62</v>
      </c>
      <c r="C16" s="12">
        <v>57</v>
      </c>
      <c r="D16" s="8">
        <v>8.1</v>
      </c>
      <c r="E16" s="12">
        <v>53</v>
      </c>
      <c r="F16" s="8">
        <v>11.04</v>
      </c>
      <c r="G16" s="12">
        <v>4</v>
      </c>
      <c r="H16" s="8">
        <v>1.8</v>
      </c>
      <c r="I16" s="12">
        <v>0</v>
      </c>
    </row>
    <row r="17" spans="2:9" ht="15" customHeight="1" x14ac:dyDescent="0.2">
      <c r="B17" t="s">
        <v>63</v>
      </c>
      <c r="C17" s="12">
        <v>11</v>
      </c>
      <c r="D17" s="8">
        <v>1.56</v>
      </c>
      <c r="E17" s="12">
        <v>9</v>
      </c>
      <c r="F17" s="8">
        <v>1.88</v>
      </c>
      <c r="G17" s="12">
        <v>2</v>
      </c>
      <c r="H17" s="8">
        <v>0.9</v>
      </c>
      <c r="I17" s="12">
        <v>0</v>
      </c>
    </row>
    <row r="18" spans="2:9" ht="15" customHeight="1" x14ac:dyDescent="0.2">
      <c r="B18" t="s">
        <v>64</v>
      </c>
      <c r="C18" s="12">
        <v>19</v>
      </c>
      <c r="D18" s="8">
        <v>2.7</v>
      </c>
      <c r="E18" s="12">
        <v>9</v>
      </c>
      <c r="F18" s="8">
        <v>1.88</v>
      </c>
      <c r="G18" s="12">
        <v>10</v>
      </c>
      <c r="H18" s="8">
        <v>4.5</v>
      </c>
      <c r="I18" s="12">
        <v>0</v>
      </c>
    </row>
    <row r="19" spans="2:9" ht="15" customHeight="1" x14ac:dyDescent="0.2">
      <c r="B19" t="s">
        <v>65</v>
      </c>
      <c r="C19" s="12">
        <v>24</v>
      </c>
      <c r="D19" s="8">
        <v>3.41</v>
      </c>
      <c r="E19" s="12">
        <v>15</v>
      </c>
      <c r="F19" s="8">
        <v>3.13</v>
      </c>
      <c r="G19" s="12">
        <v>8</v>
      </c>
      <c r="H19" s="8">
        <v>3.6</v>
      </c>
      <c r="I19" s="12">
        <v>0</v>
      </c>
    </row>
    <row r="20" spans="2:9" ht="15" customHeight="1" x14ac:dyDescent="0.2">
      <c r="B20" s="9" t="s">
        <v>215</v>
      </c>
      <c r="C20" s="12">
        <f>SUM(LTBL_28365[総数／事業所数])</f>
        <v>704</v>
      </c>
      <c r="E20" s="12">
        <f>SUBTOTAL(109,LTBL_28365[個人／事業所数])</f>
        <v>480</v>
      </c>
      <c r="G20" s="12">
        <f>SUBTOTAL(109,LTBL_28365[法人／事業所数])</f>
        <v>222</v>
      </c>
      <c r="I20" s="12">
        <f>SUBTOTAL(109,LTBL_28365[法人以外の団体／事業所数])</f>
        <v>0</v>
      </c>
    </row>
    <row r="21" spans="2:9" ht="15" customHeight="1" x14ac:dyDescent="0.2">
      <c r="E21" s="11">
        <f>LTBL_28365[[#Totals],[個人／事業所数]]/LTBL_28365[[#Totals],[総数／事業所数]]</f>
        <v>0.68181818181818177</v>
      </c>
      <c r="G21" s="11">
        <f>LTBL_28365[[#Totals],[法人／事業所数]]/LTBL_28365[[#Totals],[総数／事業所数]]</f>
        <v>0.31534090909090912</v>
      </c>
      <c r="I21" s="11">
        <f>LTBL_28365[[#Totals],[法人以外の団体／事業所数]]/LTBL_28365[[#Totals],[総数／事業所数]]</f>
        <v>0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110</v>
      </c>
      <c r="C24" s="12">
        <v>144</v>
      </c>
      <c r="D24" s="8">
        <v>20.45</v>
      </c>
      <c r="E24" s="12">
        <v>92</v>
      </c>
      <c r="F24" s="8">
        <v>19.170000000000002</v>
      </c>
      <c r="G24" s="12">
        <v>52</v>
      </c>
      <c r="H24" s="8">
        <v>23.42</v>
      </c>
      <c r="I24" s="12">
        <v>0</v>
      </c>
    </row>
    <row r="25" spans="2:9" ht="15" customHeight="1" x14ac:dyDescent="0.2">
      <c r="B25" t="s">
        <v>74</v>
      </c>
      <c r="C25" s="12">
        <v>65</v>
      </c>
      <c r="D25" s="8">
        <v>9.23</v>
      </c>
      <c r="E25" s="12">
        <v>41</v>
      </c>
      <c r="F25" s="8">
        <v>8.5399999999999991</v>
      </c>
      <c r="G25" s="12">
        <v>24</v>
      </c>
      <c r="H25" s="8">
        <v>10.81</v>
      </c>
      <c r="I25" s="12">
        <v>0</v>
      </c>
    </row>
    <row r="26" spans="2:9" ht="15" customHeight="1" x14ac:dyDescent="0.2">
      <c r="B26" t="s">
        <v>89</v>
      </c>
      <c r="C26" s="12">
        <v>52</v>
      </c>
      <c r="D26" s="8">
        <v>7.39</v>
      </c>
      <c r="E26" s="12">
        <v>50</v>
      </c>
      <c r="F26" s="8">
        <v>10.42</v>
      </c>
      <c r="G26" s="12">
        <v>2</v>
      </c>
      <c r="H26" s="8">
        <v>0.9</v>
      </c>
      <c r="I26" s="12">
        <v>0</v>
      </c>
    </row>
    <row r="27" spans="2:9" ht="15" customHeight="1" x14ac:dyDescent="0.2">
      <c r="B27" t="s">
        <v>75</v>
      </c>
      <c r="C27" s="12">
        <v>44</v>
      </c>
      <c r="D27" s="8">
        <v>6.25</v>
      </c>
      <c r="E27" s="12">
        <v>36</v>
      </c>
      <c r="F27" s="8">
        <v>7.5</v>
      </c>
      <c r="G27" s="12">
        <v>8</v>
      </c>
      <c r="H27" s="8">
        <v>3.6</v>
      </c>
      <c r="I27" s="12">
        <v>0</v>
      </c>
    </row>
    <row r="28" spans="2:9" ht="15" customHeight="1" x14ac:dyDescent="0.2">
      <c r="B28" t="s">
        <v>83</v>
      </c>
      <c r="C28" s="12">
        <v>43</v>
      </c>
      <c r="D28" s="8">
        <v>6.11</v>
      </c>
      <c r="E28" s="12">
        <v>27</v>
      </c>
      <c r="F28" s="8">
        <v>5.63</v>
      </c>
      <c r="G28" s="12">
        <v>16</v>
      </c>
      <c r="H28" s="8">
        <v>7.21</v>
      </c>
      <c r="I28" s="12">
        <v>0</v>
      </c>
    </row>
    <row r="29" spans="2:9" ht="15" customHeight="1" x14ac:dyDescent="0.2">
      <c r="B29" t="s">
        <v>88</v>
      </c>
      <c r="C29" s="12">
        <v>36</v>
      </c>
      <c r="D29" s="8">
        <v>5.1100000000000003</v>
      </c>
      <c r="E29" s="12">
        <v>35</v>
      </c>
      <c r="F29" s="8">
        <v>7.29</v>
      </c>
      <c r="G29" s="12">
        <v>1</v>
      </c>
      <c r="H29" s="8">
        <v>0.45</v>
      </c>
      <c r="I29" s="12">
        <v>0</v>
      </c>
    </row>
    <row r="30" spans="2:9" ht="15" customHeight="1" x14ac:dyDescent="0.2">
      <c r="B30" t="s">
        <v>76</v>
      </c>
      <c r="C30" s="12">
        <v>32</v>
      </c>
      <c r="D30" s="8">
        <v>4.55</v>
      </c>
      <c r="E30" s="12">
        <v>23</v>
      </c>
      <c r="F30" s="8">
        <v>4.79</v>
      </c>
      <c r="G30" s="12">
        <v>9</v>
      </c>
      <c r="H30" s="8">
        <v>4.05</v>
      </c>
      <c r="I30" s="12">
        <v>0</v>
      </c>
    </row>
    <row r="31" spans="2:9" ht="15" customHeight="1" x14ac:dyDescent="0.2">
      <c r="B31" t="s">
        <v>82</v>
      </c>
      <c r="C31" s="12">
        <v>29</v>
      </c>
      <c r="D31" s="8">
        <v>4.12</v>
      </c>
      <c r="E31" s="12">
        <v>23</v>
      </c>
      <c r="F31" s="8">
        <v>4.79</v>
      </c>
      <c r="G31" s="12">
        <v>6</v>
      </c>
      <c r="H31" s="8">
        <v>2.7</v>
      </c>
      <c r="I31" s="12">
        <v>0</v>
      </c>
    </row>
    <row r="32" spans="2:9" ht="15" customHeight="1" x14ac:dyDescent="0.2">
      <c r="B32" t="s">
        <v>81</v>
      </c>
      <c r="C32" s="12">
        <v>28</v>
      </c>
      <c r="D32" s="8">
        <v>3.98</v>
      </c>
      <c r="E32" s="12">
        <v>23</v>
      </c>
      <c r="F32" s="8">
        <v>4.79</v>
      </c>
      <c r="G32" s="12">
        <v>5</v>
      </c>
      <c r="H32" s="8">
        <v>2.25</v>
      </c>
      <c r="I32" s="12">
        <v>0</v>
      </c>
    </row>
    <row r="33" spans="2:9" ht="15" customHeight="1" x14ac:dyDescent="0.2">
      <c r="B33" t="s">
        <v>77</v>
      </c>
      <c r="C33" s="12">
        <v>17</v>
      </c>
      <c r="D33" s="8">
        <v>2.41</v>
      </c>
      <c r="E33" s="12">
        <v>11</v>
      </c>
      <c r="F33" s="8">
        <v>2.29</v>
      </c>
      <c r="G33" s="12">
        <v>6</v>
      </c>
      <c r="H33" s="8">
        <v>2.7</v>
      </c>
      <c r="I33" s="12">
        <v>0</v>
      </c>
    </row>
    <row r="34" spans="2:9" ht="15" customHeight="1" x14ac:dyDescent="0.2">
      <c r="B34" t="s">
        <v>80</v>
      </c>
      <c r="C34" s="12">
        <v>15</v>
      </c>
      <c r="D34" s="8">
        <v>2.13</v>
      </c>
      <c r="E34" s="12">
        <v>13</v>
      </c>
      <c r="F34" s="8">
        <v>2.71</v>
      </c>
      <c r="G34" s="12">
        <v>2</v>
      </c>
      <c r="H34" s="8">
        <v>0.9</v>
      </c>
      <c r="I34" s="12">
        <v>0</v>
      </c>
    </row>
    <row r="35" spans="2:9" ht="15" customHeight="1" x14ac:dyDescent="0.2">
      <c r="B35" t="s">
        <v>100</v>
      </c>
      <c r="C35" s="12">
        <v>12</v>
      </c>
      <c r="D35" s="8">
        <v>1.7</v>
      </c>
      <c r="E35" s="12">
        <v>7</v>
      </c>
      <c r="F35" s="8">
        <v>1.46</v>
      </c>
      <c r="G35" s="12">
        <v>5</v>
      </c>
      <c r="H35" s="8">
        <v>2.25</v>
      </c>
      <c r="I35" s="12">
        <v>0</v>
      </c>
    </row>
    <row r="36" spans="2:9" ht="15" customHeight="1" x14ac:dyDescent="0.2">
      <c r="B36" t="s">
        <v>86</v>
      </c>
      <c r="C36" s="12">
        <v>11</v>
      </c>
      <c r="D36" s="8">
        <v>1.56</v>
      </c>
      <c r="E36" s="12">
        <v>11</v>
      </c>
      <c r="F36" s="8">
        <v>2.29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87</v>
      </c>
      <c r="C37" s="12">
        <v>11</v>
      </c>
      <c r="D37" s="8">
        <v>1.56</v>
      </c>
      <c r="E37" s="12">
        <v>7</v>
      </c>
      <c r="F37" s="8">
        <v>1.46</v>
      </c>
      <c r="G37" s="12">
        <v>4</v>
      </c>
      <c r="H37" s="8">
        <v>1.8</v>
      </c>
      <c r="I37" s="12">
        <v>0</v>
      </c>
    </row>
    <row r="38" spans="2:9" ht="15" customHeight="1" x14ac:dyDescent="0.2">
      <c r="B38" t="s">
        <v>91</v>
      </c>
      <c r="C38" s="12">
        <v>11</v>
      </c>
      <c r="D38" s="8">
        <v>1.56</v>
      </c>
      <c r="E38" s="12">
        <v>9</v>
      </c>
      <c r="F38" s="8">
        <v>1.88</v>
      </c>
      <c r="G38" s="12">
        <v>2</v>
      </c>
      <c r="H38" s="8">
        <v>0.9</v>
      </c>
      <c r="I38" s="12">
        <v>0</v>
      </c>
    </row>
    <row r="39" spans="2:9" ht="15" customHeight="1" x14ac:dyDescent="0.2">
      <c r="B39" t="s">
        <v>104</v>
      </c>
      <c r="C39" s="12">
        <v>11</v>
      </c>
      <c r="D39" s="8">
        <v>1.56</v>
      </c>
      <c r="E39" s="12">
        <v>9</v>
      </c>
      <c r="F39" s="8">
        <v>1.88</v>
      </c>
      <c r="G39" s="12">
        <v>2</v>
      </c>
      <c r="H39" s="8">
        <v>0.9</v>
      </c>
      <c r="I39" s="12">
        <v>0</v>
      </c>
    </row>
    <row r="40" spans="2:9" ht="15" customHeight="1" x14ac:dyDescent="0.2">
      <c r="B40" t="s">
        <v>93</v>
      </c>
      <c r="C40" s="12">
        <v>10</v>
      </c>
      <c r="D40" s="8">
        <v>1.42</v>
      </c>
      <c r="E40" s="12">
        <v>1</v>
      </c>
      <c r="F40" s="8">
        <v>0.21</v>
      </c>
      <c r="G40" s="12">
        <v>9</v>
      </c>
      <c r="H40" s="8">
        <v>4.05</v>
      </c>
      <c r="I40" s="12">
        <v>0</v>
      </c>
    </row>
    <row r="41" spans="2:9" ht="15" customHeight="1" x14ac:dyDescent="0.2">
      <c r="B41" t="s">
        <v>108</v>
      </c>
      <c r="C41" s="12">
        <v>9</v>
      </c>
      <c r="D41" s="8">
        <v>1.28</v>
      </c>
      <c r="E41" s="12">
        <v>3</v>
      </c>
      <c r="F41" s="8">
        <v>0.63</v>
      </c>
      <c r="G41" s="12">
        <v>6</v>
      </c>
      <c r="H41" s="8">
        <v>2.7</v>
      </c>
      <c r="I41" s="12">
        <v>0</v>
      </c>
    </row>
    <row r="42" spans="2:9" ht="15" customHeight="1" x14ac:dyDescent="0.2">
      <c r="B42" t="s">
        <v>92</v>
      </c>
      <c r="C42" s="12">
        <v>9</v>
      </c>
      <c r="D42" s="8">
        <v>1.28</v>
      </c>
      <c r="E42" s="12">
        <v>8</v>
      </c>
      <c r="F42" s="8">
        <v>1.67</v>
      </c>
      <c r="G42" s="12">
        <v>1</v>
      </c>
      <c r="H42" s="8">
        <v>0.45</v>
      </c>
      <c r="I42" s="12">
        <v>0</v>
      </c>
    </row>
    <row r="43" spans="2:9" ht="15" customHeight="1" x14ac:dyDescent="0.2">
      <c r="B43" t="s">
        <v>113</v>
      </c>
      <c r="C43" s="12">
        <v>8</v>
      </c>
      <c r="D43" s="8">
        <v>1.1399999999999999</v>
      </c>
      <c r="E43" s="12">
        <v>4</v>
      </c>
      <c r="F43" s="8">
        <v>0.83</v>
      </c>
      <c r="G43" s="12">
        <v>4</v>
      </c>
      <c r="H43" s="8">
        <v>1.8</v>
      </c>
      <c r="I43" s="12">
        <v>0</v>
      </c>
    </row>
    <row r="44" spans="2:9" ht="15" customHeight="1" x14ac:dyDescent="0.2">
      <c r="B44" t="s">
        <v>111</v>
      </c>
      <c r="C44" s="12">
        <v>8</v>
      </c>
      <c r="D44" s="8">
        <v>1.1399999999999999</v>
      </c>
      <c r="E44" s="12">
        <v>5</v>
      </c>
      <c r="F44" s="8">
        <v>1.04</v>
      </c>
      <c r="G44" s="12">
        <v>3</v>
      </c>
      <c r="H44" s="8">
        <v>1.35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173</v>
      </c>
      <c r="C48" s="12">
        <v>64</v>
      </c>
      <c r="D48" s="8">
        <v>9.09</v>
      </c>
      <c r="E48" s="12">
        <v>32</v>
      </c>
      <c r="F48" s="8">
        <v>6.67</v>
      </c>
      <c r="G48" s="12">
        <v>32</v>
      </c>
      <c r="H48" s="8">
        <v>14.41</v>
      </c>
      <c r="I48" s="12">
        <v>0</v>
      </c>
    </row>
    <row r="49" spans="2:9" ht="15" customHeight="1" x14ac:dyDescent="0.2">
      <c r="B49" t="s">
        <v>175</v>
      </c>
      <c r="C49" s="12">
        <v>31</v>
      </c>
      <c r="D49" s="8">
        <v>4.4000000000000004</v>
      </c>
      <c r="E49" s="12">
        <v>19</v>
      </c>
      <c r="F49" s="8">
        <v>3.96</v>
      </c>
      <c r="G49" s="12">
        <v>12</v>
      </c>
      <c r="H49" s="8">
        <v>5.41</v>
      </c>
      <c r="I49" s="12">
        <v>0</v>
      </c>
    </row>
    <row r="50" spans="2:9" ht="15" customHeight="1" x14ac:dyDescent="0.2">
      <c r="B50" t="s">
        <v>174</v>
      </c>
      <c r="C50" s="12">
        <v>30</v>
      </c>
      <c r="D50" s="8">
        <v>4.26</v>
      </c>
      <c r="E50" s="12">
        <v>30</v>
      </c>
      <c r="F50" s="8">
        <v>6.25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138</v>
      </c>
      <c r="C51" s="12">
        <v>28</v>
      </c>
      <c r="D51" s="8">
        <v>3.98</v>
      </c>
      <c r="E51" s="12">
        <v>28</v>
      </c>
      <c r="F51" s="8">
        <v>5.83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124</v>
      </c>
      <c r="C52" s="12">
        <v>25</v>
      </c>
      <c r="D52" s="8">
        <v>3.55</v>
      </c>
      <c r="E52" s="12">
        <v>20</v>
      </c>
      <c r="F52" s="8">
        <v>4.17</v>
      </c>
      <c r="G52" s="12">
        <v>5</v>
      </c>
      <c r="H52" s="8">
        <v>2.25</v>
      </c>
      <c r="I52" s="12">
        <v>0</v>
      </c>
    </row>
    <row r="53" spans="2:9" ht="15" customHeight="1" x14ac:dyDescent="0.2">
      <c r="B53" t="s">
        <v>169</v>
      </c>
      <c r="C53" s="12">
        <v>23</v>
      </c>
      <c r="D53" s="8">
        <v>3.27</v>
      </c>
      <c r="E53" s="12">
        <v>20</v>
      </c>
      <c r="F53" s="8">
        <v>4.17</v>
      </c>
      <c r="G53" s="12">
        <v>3</v>
      </c>
      <c r="H53" s="8">
        <v>1.35</v>
      </c>
      <c r="I53" s="12">
        <v>0</v>
      </c>
    </row>
    <row r="54" spans="2:9" ht="15" customHeight="1" x14ac:dyDescent="0.2">
      <c r="B54" t="s">
        <v>127</v>
      </c>
      <c r="C54" s="12">
        <v>20</v>
      </c>
      <c r="D54" s="8">
        <v>2.84</v>
      </c>
      <c r="E54" s="12">
        <v>14</v>
      </c>
      <c r="F54" s="8">
        <v>2.92</v>
      </c>
      <c r="G54" s="12">
        <v>6</v>
      </c>
      <c r="H54" s="8">
        <v>2.7</v>
      </c>
      <c r="I54" s="12">
        <v>0</v>
      </c>
    </row>
    <row r="55" spans="2:9" ht="15" customHeight="1" x14ac:dyDescent="0.2">
      <c r="B55" t="s">
        <v>122</v>
      </c>
      <c r="C55" s="12">
        <v>19</v>
      </c>
      <c r="D55" s="8">
        <v>2.7</v>
      </c>
      <c r="E55" s="12">
        <v>9</v>
      </c>
      <c r="F55" s="8">
        <v>1.88</v>
      </c>
      <c r="G55" s="12">
        <v>10</v>
      </c>
      <c r="H55" s="8">
        <v>4.5</v>
      </c>
      <c r="I55" s="12">
        <v>0</v>
      </c>
    </row>
    <row r="56" spans="2:9" ht="15" customHeight="1" x14ac:dyDescent="0.2">
      <c r="B56" t="s">
        <v>129</v>
      </c>
      <c r="C56" s="12">
        <v>17</v>
      </c>
      <c r="D56" s="8">
        <v>2.41</v>
      </c>
      <c r="E56" s="12">
        <v>12</v>
      </c>
      <c r="F56" s="8">
        <v>2.5</v>
      </c>
      <c r="G56" s="12">
        <v>5</v>
      </c>
      <c r="H56" s="8">
        <v>2.25</v>
      </c>
      <c r="I56" s="12">
        <v>0</v>
      </c>
    </row>
    <row r="57" spans="2:9" ht="15" customHeight="1" x14ac:dyDescent="0.2">
      <c r="B57" t="s">
        <v>136</v>
      </c>
      <c r="C57" s="12">
        <v>16</v>
      </c>
      <c r="D57" s="8">
        <v>2.27</v>
      </c>
      <c r="E57" s="12">
        <v>16</v>
      </c>
      <c r="F57" s="8">
        <v>3.33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137</v>
      </c>
      <c r="C58" s="12">
        <v>16</v>
      </c>
      <c r="D58" s="8">
        <v>2.27</v>
      </c>
      <c r="E58" s="12">
        <v>16</v>
      </c>
      <c r="F58" s="8">
        <v>3.33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123</v>
      </c>
      <c r="C59" s="12">
        <v>12</v>
      </c>
      <c r="D59" s="8">
        <v>1.7</v>
      </c>
      <c r="E59" s="12">
        <v>8</v>
      </c>
      <c r="F59" s="8">
        <v>1.67</v>
      </c>
      <c r="G59" s="12">
        <v>4</v>
      </c>
      <c r="H59" s="8">
        <v>1.8</v>
      </c>
      <c r="I59" s="12">
        <v>0</v>
      </c>
    </row>
    <row r="60" spans="2:9" ht="15" customHeight="1" x14ac:dyDescent="0.2">
      <c r="B60" t="s">
        <v>128</v>
      </c>
      <c r="C60" s="12">
        <v>12</v>
      </c>
      <c r="D60" s="8">
        <v>1.7</v>
      </c>
      <c r="E60" s="12">
        <v>7</v>
      </c>
      <c r="F60" s="8">
        <v>1.46</v>
      </c>
      <c r="G60" s="12">
        <v>5</v>
      </c>
      <c r="H60" s="8">
        <v>2.25</v>
      </c>
      <c r="I60" s="12">
        <v>0</v>
      </c>
    </row>
    <row r="61" spans="2:9" ht="15" customHeight="1" x14ac:dyDescent="0.2">
      <c r="B61" t="s">
        <v>190</v>
      </c>
      <c r="C61" s="12">
        <v>11</v>
      </c>
      <c r="D61" s="8">
        <v>1.56</v>
      </c>
      <c r="E61" s="12">
        <v>10</v>
      </c>
      <c r="F61" s="8">
        <v>2.08</v>
      </c>
      <c r="G61" s="12">
        <v>1</v>
      </c>
      <c r="H61" s="8">
        <v>0.45</v>
      </c>
      <c r="I61" s="12">
        <v>0</v>
      </c>
    </row>
    <row r="62" spans="2:9" ht="15" customHeight="1" x14ac:dyDescent="0.2">
      <c r="B62" t="s">
        <v>165</v>
      </c>
      <c r="C62" s="12">
        <v>11</v>
      </c>
      <c r="D62" s="8">
        <v>1.56</v>
      </c>
      <c r="E62" s="12">
        <v>9</v>
      </c>
      <c r="F62" s="8">
        <v>1.88</v>
      </c>
      <c r="G62" s="12">
        <v>2</v>
      </c>
      <c r="H62" s="8">
        <v>0.9</v>
      </c>
      <c r="I62" s="12">
        <v>0</v>
      </c>
    </row>
    <row r="63" spans="2:9" ht="15" customHeight="1" x14ac:dyDescent="0.2">
      <c r="B63" t="s">
        <v>150</v>
      </c>
      <c r="C63" s="12">
        <v>9</v>
      </c>
      <c r="D63" s="8">
        <v>1.28</v>
      </c>
      <c r="E63" s="12">
        <v>4</v>
      </c>
      <c r="F63" s="8">
        <v>0.83</v>
      </c>
      <c r="G63" s="12">
        <v>5</v>
      </c>
      <c r="H63" s="8">
        <v>2.25</v>
      </c>
      <c r="I63" s="12">
        <v>0</v>
      </c>
    </row>
    <row r="64" spans="2:9" ht="15" customHeight="1" x14ac:dyDescent="0.2">
      <c r="B64" t="s">
        <v>144</v>
      </c>
      <c r="C64" s="12">
        <v>9</v>
      </c>
      <c r="D64" s="8">
        <v>1.28</v>
      </c>
      <c r="E64" s="12">
        <v>5</v>
      </c>
      <c r="F64" s="8">
        <v>1.04</v>
      </c>
      <c r="G64" s="12">
        <v>4</v>
      </c>
      <c r="H64" s="8">
        <v>1.8</v>
      </c>
      <c r="I64" s="12">
        <v>0</v>
      </c>
    </row>
    <row r="65" spans="2:9" ht="15" customHeight="1" x14ac:dyDescent="0.2">
      <c r="B65" t="s">
        <v>133</v>
      </c>
      <c r="C65" s="12">
        <v>9</v>
      </c>
      <c r="D65" s="8">
        <v>1.28</v>
      </c>
      <c r="E65" s="12">
        <v>9</v>
      </c>
      <c r="F65" s="8">
        <v>1.88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185</v>
      </c>
      <c r="C66" s="12">
        <v>8</v>
      </c>
      <c r="D66" s="8">
        <v>1.1399999999999999</v>
      </c>
      <c r="E66" s="12">
        <v>8</v>
      </c>
      <c r="F66" s="8">
        <v>1.67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203</v>
      </c>
      <c r="C67" s="12">
        <v>8</v>
      </c>
      <c r="D67" s="8">
        <v>1.1399999999999999</v>
      </c>
      <c r="E67" s="12">
        <v>5</v>
      </c>
      <c r="F67" s="8">
        <v>1.04</v>
      </c>
      <c r="G67" s="12">
        <v>3</v>
      </c>
      <c r="H67" s="8">
        <v>1.35</v>
      </c>
      <c r="I67" s="12">
        <v>0</v>
      </c>
    </row>
    <row r="68" spans="2:9" ht="15" customHeight="1" x14ac:dyDescent="0.2">
      <c r="B68" t="s">
        <v>154</v>
      </c>
      <c r="C68" s="12">
        <v>8</v>
      </c>
      <c r="D68" s="8">
        <v>1.1399999999999999</v>
      </c>
      <c r="E68" s="12">
        <v>7</v>
      </c>
      <c r="F68" s="8">
        <v>1.46</v>
      </c>
      <c r="G68" s="12">
        <v>1</v>
      </c>
      <c r="H68" s="8">
        <v>0.45</v>
      </c>
      <c r="I68" s="12">
        <v>0</v>
      </c>
    </row>
    <row r="69" spans="2:9" ht="15" customHeight="1" x14ac:dyDescent="0.2">
      <c r="B69" t="s">
        <v>126</v>
      </c>
      <c r="C69" s="12">
        <v>8</v>
      </c>
      <c r="D69" s="8">
        <v>1.1399999999999999</v>
      </c>
      <c r="E69" s="12">
        <v>6</v>
      </c>
      <c r="F69" s="8">
        <v>1.25</v>
      </c>
      <c r="G69" s="12">
        <v>2</v>
      </c>
      <c r="H69" s="8">
        <v>0.9</v>
      </c>
      <c r="I69" s="12">
        <v>0</v>
      </c>
    </row>
    <row r="70" spans="2:9" ht="15" customHeight="1" x14ac:dyDescent="0.2">
      <c r="B70" t="s">
        <v>146</v>
      </c>
      <c r="C70" s="12">
        <v>8</v>
      </c>
      <c r="D70" s="8">
        <v>1.1399999999999999</v>
      </c>
      <c r="E70" s="12">
        <v>6</v>
      </c>
      <c r="F70" s="8">
        <v>1.25</v>
      </c>
      <c r="G70" s="12">
        <v>2</v>
      </c>
      <c r="H70" s="8">
        <v>0.9</v>
      </c>
      <c r="I70" s="12">
        <v>0</v>
      </c>
    </row>
    <row r="72" spans="2:9" ht="15" customHeight="1" x14ac:dyDescent="0.2">
      <c r="B72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BEDE2-A8A4-4010-8F76-744B1A098190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259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120</v>
      </c>
      <c r="D6" s="8">
        <v>18.989999999999998</v>
      </c>
      <c r="E6" s="12">
        <v>32</v>
      </c>
      <c r="F6" s="8">
        <v>11.47</v>
      </c>
      <c r="G6" s="12">
        <v>88</v>
      </c>
      <c r="H6" s="8">
        <v>25.58</v>
      </c>
      <c r="I6" s="12">
        <v>0</v>
      </c>
    </row>
    <row r="7" spans="2:9" ht="15" customHeight="1" x14ac:dyDescent="0.2">
      <c r="B7" t="s">
        <v>53</v>
      </c>
      <c r="C7" s="12">
        <v>143</v>
      </c>
      <c r="D7" s="8">
        <v>22.63</v>
      </c>
      <c r="E7" s="12">
        <v>39</v>
      </c>
      <c r="F7" s="8">
        <v>13.98</v>
      </c>
      <c r="G7" s="12">
        <v>104</v>
      </c>
      <c r="H7" s="8">
        <v>30.23</v>
      </c>
      <c r="I7" s="12">
        <v>0</v>
      </c>
    </row>
    <row r="8" spans="2:9" ht="15" customHeight="1" x14ac:dyDescent="0.2">
      <c r="B8" t="s">
        <v>54</v>
      </c>
      <c r="C8" s="12">
        <v>4</v>
      </c>
      <c r="D8" s="8">
        <v>0.63</v>
      </c>
      <c r="E8" s="12">
        <v>0</v>
      </c>
      <c r="F8" s="8">
        <v>0</v>
      </c>
      <c r="G8" s="12">
        <v>3</v>
      </c>
      <c r="H8" s="8">
        <v>0.87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0.16</v>
      </c>
      <c r="E9" s="12">
        <v>0</v>
      </c>
      <c r="F9" s="8">
        <v>0</v>
      </c>
      <c r="G9" s="12">
        <v>1</v>
      </c>
      <c r="H9" s="8">
        <v>0.28999999999999998</v>
      </c>
      <c r="I9" s="12">
        <v>0</v>
      </c>
    </row>
    <row r="10" spans="2:9" ht="15" customHeight="1" x14ac:dyDescent="0.2">
      <c r="B10" t="s">
        <v>56</v>
      </c>
      <c r="C10" s="12">
        <v>13</v>
      </c>
      <c r="D10" s="8">
        <v>2.06</v>
      </c>
      <c r="E10" s="12">
        <v>0</v>
      </c>
      <c r="F10" s="8">
        <v>0</v>
      </c>
      <c r="G10" s="12">
        <v>13</v>
      </c>
      <c r="H10" s="8">
        <v>3.78</v>
      </c>
      <c r="I10" s="12">
        <v>0</v>
      </c>
    </row>
    <row r="11" spans="2:9" ht="15" customHeight="1" x14ac:dyDescent="0.2">
      <c r="B11" t="s">
        <v>57</v>
      </c>
      <c r="C11" s="12">
        <v>104</v>
      </c>
      <c r="D11" s="8">
        <v>16.46</v>
      </c>
      <c r="E11" s="12">
        <v>55</v>
      </c>
      <c r="F11" s="8">
        <v>19.71</v>
      </c>
      <c r="G11" s="12">
        <v>49</v>
      </c>
      <c r="H11" s="8">
        <v>14.24</v>
      </c>
      <c r="I11" s="12">
        <v>0</v>
      </c>
    </row>
    <row r="12" spans="2:9" ht="15" customHeight="1" x14ac:dyDescent="0.2">
      <c r="B12" t="s">
        <v>58</v>
      </c>
      <c r="C12" s="12">
        <v>2</v>
      </c>
      <c r="D12" s="8">
        <v>0.32</v>
      </c>
      <c r="E12" s="12">
        <v>2</v>
      </c>
      <c r="F12" s="8">
        <v>0.72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39</v>
      </c>
      <c r="D13" s="8">
        <v>6.17</v>
      </c>
      <c r="E13" s="12">
        <v>11</v>
      </c>
      <c r="F13" s="8">
        <v>3.94</v>
      </c>
      <c r="G13" s="12">
        <v>28</v>
      </c>
      <c r="H13" s="8">
        <v>8.14</v>
      </c>
      <c r="I13" s="12">
        <v>0</v>
      </c>
    </row>
    <row r="14" spans="2:9" ht="15" customHeight="1" x14ac:dyDescent="0.2">
      <c r="B14" t="s">
        <v>60</v>
      </c>
      <c r="C14" s="12">
        <v>32</v>
      </c>
      <c r="D14" s="8">
        <v>5.0599999999999996</v>
      </c>
      <c r="E14" s="12">
        <v>17</v>
      </c>
      <c r="F14" s="8">
        <v>6.09</v>
      </c>
      <c r="G14" s="12">
        <v>15</v>
      </c>
      <c r="H14" s="8">
        <v>4.3600000000000003</v>
      </c>
      <c r="I14" s="12">
        <v>0</v>
      </c>
    </row>
    <row r="15" spans="2:9" ht="15" customHeight="1" x14ac:dyDescent="0.2">
      <c r="B15" t="s">
        <v>61</v>
      </c>
      <c r="C15" s="12">
        <v>43</v>
      </c>
      <c r="D15" s="8">
        <v>6.8</v>
      </c>
      <c r="E15" s="12">
        <v>39</v>
      </c>
      <c r="F15" s="8">
        <v>13.98</v>
      </c>
      <c r="G15" s="12">
        <v>4</v>
      </c>
      <c r="H15" s="8">
        <v>1.1599999999999999</v>
      </c>
      <c r="I15" s="12">
        <v>0</v>
      </c>
    </row>
    <row r="16" spans="2:9" ht="15" customHeight="1" x14ac:dyDescent="0.2">
      <c r="B16" t="s">
        <v>62</v>
      </c>
      <c r="C16" s="12">
        <v>51</v>
      </c>
      <c r="D16" s="8">
        <v>8.07</v>
      </c>
      <c r="E16" s="12">
        <v>40</v>
      </c>
      <c r="F16" s="8">
        <v>14.34</v>
      </c>
      <c r="G16" s="12">
        <v>11</v>
      </c>
      <c r="H16" s="8">
        <v>3.2</v>
      </c>
      <c r="I16" s="12">
        <v>0</v>
      </c>
    </row>
    <row r="17" spans="2:9" ht="15" customHeight="1" x14ac:dyDescent="0.2">
      <c r="B17" t="s">
        <v>63</v>
      </c>
      <c r="C17" s="12">
        <v>22</v>
      </c>
      <c r="D17" s="8">
        <v>3.48</v>
      </c>
      <c r="E17" s="12">
        <v>16</v>
      </c>
      <c r="F17" s="8">
        <v>5.73</v>
      </c>
      <c r="G17" s="12">
        <v>4</v>
      </c>
      <c r="H17" s="8">
        <v>1.1599999999999999</v>
      </c>
      <c r="I17" s="12">
        <v>0</v>
      </c>
    </row>
    <row r="18" spans="2:9" ht="15" customHeight="1" x14ac:dyDescent="0.2">
      <c r="B18" t="s">
        <v>64</v>
      </c>
      <c r="C18" s="12">
        <v>25</v>
      </c>
      <c r="D18" s="8">
        <v>3.96</v>
      </c>
      <c r="E18" s="12">
        <v>13</v>
      </c>
      <c r="F18" s="8">
        <v>4.66</v>
      </c>
      <c r="G18" s="12">
        <v>8</v>
      </c>
      <c r="H18" s="8">
        <v>2.33</v>
      </c>
      <c r="I18" s="12">
        <v>0</v>
      </c>
    </row>
    <row r="19" spans="2:9" ht="15" customHeight="1" x14ac:dyDescent="0.2">
      <c r="B19" t="s">
        <v>65</v>
      </c>
      <c r="C19" s="12">
        <v>33</v>
      </c>
      <c r="D19" s="8">
        <v>5.22</v>
      </c>
      <c r="E19" s="12">
        <v>15</v>
      </c>
      <c r="F19" s="8">
        <v>5.38</v>
      </c>
      <c r="G19" s="12">
        <v>16</v>
      </c>
      <c r="H19" s="8">
        <v>4.6500000000000004</v>
      </c>
      <c r="I19" s="12">
        <v>0</v>
      </c>
    </row>
    <row r="20" spans="2:9" ht="15" customHeight="1" x14ac:dyDescent="0.2">
      <c r="B20" s="9" t="s">
        <v>215</v>
      </c>
      <c r="C20" s="12">
        <f>SUM(LTBL_28381[総数／事業所数])</f>
        <v>632</v>
      </c>
      <c r="E20" s="12">
        <f>SUBTOTAL(109,LTBL_28381[個人／事業所数])</f>
        <v>279</v>
      </c>
      <c r="G20" s="12">
        <f>SUBTOTAL(109,LTBL_28381[法人／事業所数])</f>
        <v>344</v>
      </c>
      <c r="I20" s="12">
        <f>SUBTOTAL(109,LTBL_28381[法人以外の団体／事業所数])</f>
        <v>0</v>
      </c>
    </row>
    <row r="21" spans="2:9" ht="15" customHeight="1" x14ac:dyDescent="0.2">
      <c r="E21" s="11">
        <f>LTBL_28381[[#Totals],[個人／事業所数]]/LTBL_28381[[#Totals],[総数／事業所数]]</f>
        <v>0.44145569620253167</v>
      </c>
      <c r="G21" s="11">
        <f>LTBL_28381[[#Totals],[法人／事業所数]]/LTBL_28381[[#Totals],[総数／事業所数]]</f>
        <v>0.54430379746835444</v>
      </c>
      <c r="I21" s="11">
        <f>LTBL_28381[[#Totals],[法人以外の団体／事業所数]]/LTBL_28381[[#Totals],[総数／事業所数]]</f>
        <v>0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60</v>
      </c>
      <c r="D24" s="8">
        <v>9.49</v>
      </c>
      <c r="E24" s="12">
        <v>12</v>
      </c>
      <c r="F24" s="8">
        <v>4.3</v>
      </c>
      <c r="G24" s="12">
        <v>48</v>
      </c>
      <c r="H24" s="8">
        <v>13.95</v>
      </c>
      <c r="I24" s="12">
        <v>0</v>
      </c>
    </row>
    <row r="25" spans="2:9" ht="15" customHeight="1" x14ac:dyDescent="0.2">
      <c r="B25" t="s">
        <v>89</v>
      </c>
      <c r="C25" s="12">
        <v>46</v>
      </c>
      <c r="D25" s="8">
        <v>7.28</v>
      </c>
      <c r="E25" s="12">
        <v>37</v>
      </c>
      <c r="F25" s="8">
        <v>13.26</v>
      </c>
      <c r="G25" s="12">
        <v>9</v>
      </c>
      <c r="H25" s="8">
        <v>2.62</v>
      </c>
      <c r="I25" s="12">
        <v>0</v>
      </c>
    </row>
    <row r="26" spans="2:9" ht="15" customHeight="1" x14ac:dyDescent="0.2">
      <c r="B26" t="s">
        <v>88</v>
      </c>
      <c r="C26" s="12">
        <v>43</v>
      </c>
      <c r="D26" s="8">
        <v>6.8</v>
      </c>
      <c r="E26" s="12">
        <v>39</v>
      </c>
      <c r="F26" s="8">
        <v>13.98</v>
      </c>
      <c r="G26" s="12">
        <v>4</v>
      </c>
      <c r="H26" s="8">
        <v>1.1599999999999999</v>
      </c>
      <c r="I26" s="12">
        <v>0</v>
      </c>
    </row>
    <row r="27" spans="2:9" ht="15" customHeight="1" x14ac:dyDescent="0.2">
      <c r="B27" t="s">
        <v>77</v>
      </c>
      <c r="C27" s="12">
        <v>41</v>
      </c>
      <c r="D27" s="8">
        <v>6.49</v>
      </c>
      <c r="E27" s="12">
        <v>13</v>
      </c>
      <c r="F27" s="8">
        <v>4.66</v>
      </c>
      <c r="G27" s="12">
        <v>28</v>
      </c>
      <c r="H27" s="8">
        <v>8.14</v>
      </c>
      <c r="I27" s="12">
        <v>0</v>
      </c>
    </row>
    <row r="28" spans="2:9" ht="15" customHeight="1" x14ac:dyDescent="0.2">
      <c r="B28" t="s">
        <v>75</v>
      </c>
      <c r="C28" s="12">
        <v>37</v>
      </c>
      <c r="D28" s="8">
        <v>5.85</v>
      </c>
      <c r="E28" s="12">
        <v>14</v>
      </c>
      <c r="F28" s="8">
        <v>5.0199999999999996</v>
      </c>
      <c r="G28" s="12">
        <v>23</v>
      </c>
      <c r="H28" s="8">
        <v>6.69</v>
      </c>
      <c r="I28" s="12">
        <v>0</v>
      </c>
    </row>
    <row r="29" spans="2:9" ht="15" customHeight="1" x14ac:dyDescent="0.2">
      <c r="B29" t="s">
        <v>85</v>
      </c>
      <c r="C29" s="12">
        <v>31</v>
      </c>
      <c r="D29" s="8">
        <v>4.91</v>
      </c>
      <c r="E29" s="12">
        <v>9</v>
      </c>
      <c r="F29" s="8">
        <v>3.23</v>
      </c>
      <c r="G29" s="12">
        <v>22</v>
      </c>
      <c r="H29" s="8">
        <v>6.4</v>
      </c>
      <c r="I29" s="12">
        <v>0</v>
      </c>
    </row>
    <row r="30" spans="2:9" ht="15" customHeight="1" x14ac:dyDescent="0.2">
      <c r="B30" t="s">
        <v>83</v>
      </c>
      <c r="C30" s="12">
        <v>28</v>
      </c>
      <c r="D30" s="8">
        <v>4.43</v>
      </c>
      <c r="E30" s="12">
        <v>17</v>
      </c>
      <c r="F30" s="8">
        <v>6.09</v>
      </c>
      <c r="G30" s="12">
        <v>11</v>
      </c>
      <c r="H30" s="8">
        <v>3.2</v>
      </c>
      <c r="I30" s="12">
        <v>0</v>
      </c>
    </row>
    <row r="31" spans="2:9" ht="15" customHeight="1" x14ac:dyDescent="0.2">
      <c r="B31" t="s">
        <v>76</v>
      </c>
      <c r="C31" s="12">
        <v>23</v>
      </c>
      <c r="D31" s="8">
        <v>3.64</v>
      </c>
      <c r="E31" s="12">
        <v>6</v>
      </c>
      <c r="F31" s="8">
        <v>2.15</v>
      </c>
      <c r="G31" s="12">
        <v>17</v>
      </c>
      <c r="H31" s="8">
        <v>4.9400000000000004</v>
      </c>
      <c r="I31" s="12">
        <v>0</v>
      </c>
    </row>
    <row r="32" spans="2:9" ht="15" customHeight="1" x14ac:dyDescent="0.2">
      <c r="B32" t="s">
        <v>82</v>
      </c>
      <c r="C32" s="12">
        <v>22</v>
      </c>
      <c r="D32" s="8">
        <v>3.48</v>
      </c>
      <c r="E32" s="12">
        <v>14</v>
      </c>
      <c r="F32" s="8">
        <v>5.0199999999999996</v>
      </c>
      <c r="G32" s="12">
        <v>8</v>
      </c>
      <c r="H32" s="8">
        <v>2.33</v>
      </c>
      <c r="I32" s="12">
        <v>0</v>
      </c>
    </row>
    <row r="33" spans="2:9" ht="15" customHeight="1" x14ac:dyDescent="0.2">
      <c r="B33" t="s">
        <v>91</v>
      </c>
      <c r="C33" s="12">
        <v>22</v>
      </c>
      <c r="D33" s="8">
        <v>3.48</v>
      </c>
      <c r="E33" s="12">
        <v>16</v>
      </c>
      <c r="F33" s="8">
        <v>5.73</v>
      </c>
      <c r="G33" s="12">
        <v>4</v>
      </c>
      <c r="H33" s="8">
        <v>1.1599999999999999</v>
      </c>
      <c r="I33" s="12">
        <v>0</v>
      </c>
    </row>
    <row r="34" spans="2:9" ht="15" customHeight="1" x14ac:dyDescent="0.2">
      <c r="B34" t="s">
        <v>81</v>
      </c>
      <c r="C34" s="12">
        <v>19</v>
      </c>
      <c r="D34" s="8">
        <v>3.01</v>
      </c>
      <c r="E34" s="12">
        <v>15</v>
      </c>
      <c r="F34" s="8">
        <v>5.38</v>
      </c>
      <c r="G34" s="12">
        <v>4</v>
      </c>
      <c r="H34" s="8">
        <v>1.1599999999999999</v>
      </c>
      <c r="I34" s="12">
        <v>0</v>
      </c>
    </row>
    <row r="35" spans="2:9" ht="15" customHeight="1" x14ac:dyDescent="0.2">
      <c r="B35" t="s">
        <v>104</v>
      </c>
      <c r="C35" s="12">
        <v>19</v>
      </c>
      <c r="D35" s="8">
        <v>3.01</v>
      </c>
      <c r="E35" s="12">
        <v>14</v>
      </c>
      <c r="F35" s="8">
        <v>5.0199999999999996</v>
      </c>
      <c r="G35" s="12">
        <v>5</v>
      </c>
      <c r="H35" s="8">
        <v>1.45</v>
      </c>
      <c r="I35" s="12">
        <v>0</v>
      </c>
    </row>
    <row r="36" spans="2:9" ht="15" customHeight="1" x14ac:dyDescent="0.2">
      <c r="B36" t="s">
        <v>100</v>
      </c>
      <c r="C36" s="12">
        <v>18</v>
      </c>
      <c r="D36" s="8">
        <v>2.85</v>
      </c>
      <c r="E36" s="12">
        <v>3</v>
      </c>
      <c r="F36" s="8">
        <v>1.08</v>
      </c>
      <c r="G36" s="12">
        <v>15</v>
      </c>
      <c r="H36" s="8">
        <v>4.3600000000000003</v>
      </c>
      <c r="I36" s="12">
        <v>0</v>
      </c>
    </row>
    <row r="37" spans="2:9" ht="15" customHeight="1" x14ac:dyDescent="0.2">
      <c r="B37" t="s">
        <v>87</v>
      </c>
      <c r="C37" s="12">
        <v>16</v>
      </c>
      <c r="D37" s="8">
        <v>2.5299999999999998</v>
      </c>
      <c r="E37" s="12">
        <v>7</v>
      </c>
      <c r="F37" s="8">
        <v>2.5099999999999998</v>
      </c>
      <c r="G37" s="12">
        <v>9</v>
      </c>
      <c r="H37" s="8">
        <v>2.62</v>
      </c>
      <c r="I37" s="12">
        <v>0</v>
      </c>
    </row>
    <row r="38" spans="2:9" ht="15" customHeight="1" x14ac:dyDescent="0.2">
      <c r="B38" t="s">
        <v>86</v>
      </c>
      <c r="C38" s="12">
        <v>15</v>
      </c>
      <c r="D38" s="8">
        <v>2.37</v>
      </c>
      <c r="E38" s="12">
        <v>10</v>
      </c>
      <c r="F38" s="8">
        <v>3.58</v>
      </c>
      <c r="G38" s="12">
        <v>5</v>
      </c>
      <c r="H38" s="8">
        <v>1.45</v>
      </c>
      <c r="I38" s="12">
        <v>0</v>
      </c>
    </row>
    <row r="39" spans="2:9" ht="15" customHeight="1" x14ac:dyDescent="0.2">
      <c r="B39" t="s">
        <v>92</v>
      </c>
      <c r="C39" s="12">
        <v>15</v>
      </c>
      <c r="D39" s="8">
        <v>2.37</v>
      </c>
      <c r="E39" s="12">
        <v>13</v>
      </c>
      <c r="F39" s="8">
        <v>4.66</v>
      </c>
      <c r="G39" s="12">
        <v>2</v>
      </c>
      <c r="H39" s="8">
        <v>0.57999999999999996</v>
      </c>
      <c r="I39" s="12">
        <v>0</v>
      </c>
    </row>
    <row r="40" spans="2:9" ht="15" customHeight="1" x14ac:dyDescent="0.2">
      <c r="B40" t="s">
        <v>97</v>
      </c>
      <c r="C40" s="12">
        <v>11</v>
      </c>
      <c r="D40" s="8">
        <v>1.74</v>
      </c>
      <c r="E40" s="12">
        <v>1</v>
      </c>
      <c r="F40" s="8">
        <v>0.36</v>
      </c>
      <c r="G40" s="12">
        <v>10</v>
      </c>
      <c r="H40" s="8">
        <v>2.91</v>
      </c>
      <c r="I40" s="12">
        <v>0</v>
      </c>
    </row>
    <row r="41" spans="2:9" ht="15" customHeight="1" x14ac:dyDescent="0.2">
      <c r="B41" t="s">
        <v>119</v>
      </c>
      <c r="C41" s="12">
        <v>10</v>
      </c>
      <c r="D41" s="8">
        <v>1.58</v>
      </c>
      <c r="E41" s="12">
        <v>1</v>
      </c>
      <c r="F41" s="8">
        <v>0.36</v>
      </c>
      <c r="G41" s="12">
        <v>9</v>
      </c>
      <c r="H41" s="8">
        <v>2.62</v>
      </c>
      <c r="I41" s="12">
        <v>0</v>
      </c>
    </row>
    <row r="42" spans="2:9" ht="15" customHeight="1" x14ac:dyDescent="0.2">
      <c r="B42" t="s">
        <v>93</v>
      </c>
      <c r="C42" s="12">
        <v>10</v>
      </c>
      <c r="D42" s="8">
        <v>1.58</v>
      </c>
      <c r="E42" s="12">
        <v>0</v>
      </c>
      <c r="F42" s="8">
        <v>0</v>
      </c>
      <c r="G42" s="12">
        <v>6</v>
      </c>
      <c r="H42" s="8">
        <v>1.74</v>
      </c>
      <c r="I42" s="12">
        <v>0</v>
      </c>
    </row>
    <row r="43" spans="2:9" ht="15" customHeight="1" x14ac:dyDescent="0.2">
      <c r="B43" t="s">
        <v>114</v>
      </c>
      <c r="C43" s="12">
        <v>9</v>
      </c>
      <c r="D43" s="8">
        <v>1.42</v>
      </c>
      <c r="E43" s="12">
        <v>4</v>
      </c>
      <c r="F43" s="8">
        <v>1.43</v>
      </c>
      <c r="G43" s="12">
        <v>5</v>
      </c>
      <c r="H43" s="8">
        <v>1.45</v>
      </c>
      <c r="I43" s="12">
        <v>0</v>
      </c>
    </row>
    <row r="44" spans="2:9" ht="15" customHeight="1" x14ac:dyDescent="0.2">
      <c r="B44" t="s">
        <v>115</v>
      </c>
      <c r="C44" s="12">
        <v>9</v>
      </c>
      <c r="D44" s="8">
        <v>1.42</v>
      </c>
      <c r="E44" s="12">
        <v>1</v>
      </c>
      <c r="F44" s="8">
        <v>0.36</v>
      </c>
      <c r="G44" s="12">
        <v>8</v>
      </c>
      <c r="H44" s="8">
        <v>2.33</v>
      </c>
      <c r="I44" s="12">
        <v>0</v>
      </c>
    </row>
    <row r="45" spans="2:9" ht="15" customHeight="1" x14ac:dyDescent="0.2">
      <c r="B45" t="s">
        <v>78</v>
      </c>
      <c r="C45" s="12">
        <v>9</v>
      </c>
      <c r="D45" s="8">
        <v>1.42</v>
      </c>
      <c r="E45" s="12">
        <v>1</v>
      </c>
      <c r="F45" s="8">
        <v>0.36</v>
      </c>
      <c r="G45" s="12">
        <v>8</v>
      </c>
      <c r="H45" s="8">
        <v>2.33</v>
      </c>
      <c r="I45" s="12">
        <v>0</v>
      </c>
    </row>
    <row r="48" spans="2:9" ht="33" customHeight="1" x14ac:dyDescent="0.2">
      <c r="B48" t="s">
        <v>217</v>
      </c>
      <c r="C48" s="10" t="s">
        <v>67</v>
      </c>
      <c r="D48" s="10" t="s">
        <v>68</v>
      </c>
      <c r="E48" s="10" t="s">
        <v>69</v>
      </c>
      <c r="F48" s="10" t="s">
        <v>70</v>
      </c>
      <c r="G48" s="10" t="s">
        <v>71</v>
      </c>
      <c r="H48" s="10" t="s">
        <v>72</v>
      </c>
      <c r="I48" s="10" t="s">
        <v>73</v>
      </c>
    </row>
    <row r="49" spans="2:9" ht="15" customHeight="1" x14ac:dyDescent="0.2">
      <c r="B49" t="s">
        <v>164</v>
      </c>
      <c r="C49" s="12">
        <v>27</v>
      </c>
      <c r="D49" s="8">
        <v>4.2699999999999996</v>
      </c>
      <c r="E49" s="12">
        <v>7</v>
      </c>
      <c r="F49" s="8">
        <v>2.5099999999999998</v>
      </c>
      <c r="G49" s="12">
        <v>20</v>
      </c>
      <c r="H49" s="8">
        <v>5.81</v>
      </c>
      <c r="I49" s="12">
        <v>0</v>
      </c>
    </row>
    <row r="50" spans="2:9" ht="15" customHeight="1" x14ac:dyDescent="0.2">
      <c r="B50" t="s">
        <v>138</v>
      </c>
      <c r="C50" s="12">
        <v>25</v>
      </c>
      <c r="D50" s="8">
        <v>3.96</v>
      </c>
      <c r="E50" s="12">
        <v>23</v>
      </c>
      <c r="F50" s="8">
        <v>8.24</v>
      </c>
      <c r="G50" s="12">
        <v>2</v>
      </c>
      <c r="H50" s="8">
        <v>0.57999999999999996</v>
      </c>
      <c r="I50" s="12">
        <v>0</v>
      </c>
    </row>
    <row r="51" spans="2:9" ht="15" customHeight="1" x14ac:dyDescent="0.2">
      <c r="B51" t="s">
        <v>122</v>
      </c>
      <c r="C51" s="12">
        <v>23</v>
      </c>
      <c r="D51" s="8">
        <v>3.64</v>
      </c>
      <c r="E51" s="12">
        <v>2</v>
      </c>
      <c r="F51" s="8">
        <v>0.72</v>
      </c>
      <c r="G51" s="12">
        <v>21</v>
      </c>
      <c r="H51" s="8">
        <v>6.1</v>
      </c>
      <c r="I51" s="12">
        <v>0</v>
      </c>
    </row>
    <row r="52" spans="2:9" ht="15" customHeight="1" x14ac:dyDescent="0.2">
      <c r="B52" t="s">
        <v>165</v>
      </c>
      <c r="C52" s="12">
        <v>19</v>
      </c>
      <c r="D52" s="8">
        <v>3.01</v>
      </c>
      <c r="E52" s="12">
        <v>14</v>
      </c>
      <c r="F52" s="8">
        <v>5.0199999999999996</v>
      </c>
      <c r="G52" s="12">
        <v>5</v>
      </c>
      <c r="H52" s="8">
        <v>1.45</v>
      </c>
      <c r="I52" s="12">
        <v>0</v>
      </c>
    </row>
    <row r="53" spans="2:9" ht="15" customHeight="1" x14ac:dyDescent="0.2">
      <c r="B53" t="s">
        <v>127</v>
      </c>
      <c r="C53" s="12">
        <v>17</v>
      </c>
      <c r="D53" s="8">
        <v>2.69</v>
      </c>
      <c r="E53" s="12">
        <v>12</v>
      </c>
      <c r="F53" s="8">
        <v>4.3</v>
      </c>
      <c r="G53" s="12">
        <v>5</v>
      </c>
      <c r="H53" s="8">
        <v>1.45</v>
      </c>
      <c r="I53" s="12">
        <v>0</v>
      </c>
    </row>
    <row r="54" spans="2:9" ht="15" customHeight="1" x14ac:dyDescent="0.2">
      <c r="B54" t="s">
        <v>140</v>
      </c>
      <c r="C54" s="12">
        <v>16</v>
      </c>
      <c r="D54" s="8">
        <v>2.5299999999999998</v>
      </c>
      <c r="E54" s="12">
        <v>13</v>
      </c>
      <c r="F54" s="8">
        <v>4.66</v>
      </c>
      <c r="G54" s="12">
        <v>3</v>
      </c>
      <c r="H54" s="8">
        <v>0.87</v>
      </c>
      <c r="I54" s="12">
        <v>0</v>
      </c>
    </row>
    <row r="55" spans="2:9" ht="15" customHeight="1" x14ac:dyDescent="0.2">
      <c r="B55" t="s">
        <v>150</v>
      </c>
      <c r="C55" s="12">
        <v>15</v>
      </c>
      <c r="D55" s="8">
        <v>2.37</v>
      </c>
      <c r="E55" s="12">
        <v>5</v>
      </c>
      <c r="F55" s="8">
        <v>1.79</v>
      </c>
      <c r="G55" s="12">
        <v>10</v>
      </c>
      <c r="H55" s="8">
        <v>2.91</v>
      </c>
      <c r="I55" s="12">
        <v>0</v>
      </c>
    </row>
    <row r="56" spans="2:9" ht="15" customHeight="1" x14ac:dyDescent="0.2">
      <c r="B56" t="s">
        <v>132</v>
      </c>
      <c r="C56" s="12">
        <v>14</v>
      </c>
      <c r="D56" s="8">
        <v>2.2200000000000002</v>
      </c>
      <c r="E56" s="12">
        <v>6</v>
      </c>
      <c r="F56" s="8">
        <v>2.15</v>
      </c>
      <c r="G56" s="12">
        <v>8</v>
      </c>
      <c r="H56" s="8">
        <v>2.33</v>
      </c>
      <c r="I56" s="12">
        <v>0</v>
      </c>
    </row>
    <row r="57" spans="2:9" ht="15" customHeight="1" x14ac:dyDescent="0.2">
      <c r="B57" t="s">
        <v>136</v>
      </c>
      <c r="C57" s="12">
        <v>14</v>
      </c>
      <c r="D57" s="8">
        <v>2.2200000000000002</v>
      </c>
      <c r="E57" s="12">
        <v>13</v>
      </c>
      <c r="F57" s="8">
        <v>4.66</v>
      </c>
      <c r="G57" s="12">
        <v>1</v>
      </c>
      <c r="H57" s="8">
        <v>0.28999999999999998</v>
      </c>
      <c r="I57" s="12">
        <v>0</v>
      </c>
    </row>
    <row r="58" spans="2:9" ht="15" customHeight="1" x14ac:dyDescent="0.2">
      <c r="B58" t="s">
        <v>137</v>
      </c>
      <c r="C58" s="12">
        <v>13</v>
      </c>
      <c r="D58" s="8">
        <v>2.06</v>
      </c>
      <c r="E58" s="12">
        <v>13</v>
      </c>
      <c r="F58" s="8">
        <v>4.66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141</v>
      </c>
      <c r="C59" s="12">
        <v>13</v>
      </c>
      <c r="D59" s="8">
        <v>2.06</v>
      </c>
      <c r="E59" s="12">
        <v>11</v>
      </c>
      <c r="F59" s="8">
        <v>3.94</v>
      </c>
      <c r="G59" s="12">
        <v>2</v>
      </c>
      <c r="H59" s="8">
        <v>0.57999999999999996</v>
      </c>
      <c r="I59" s="12">
        <v>0</v>
      </c>
    </row>
    <row r="60" spans="2:9" ht="15" customHeight="1" x14ac:dyDescent="0.2">
      <c r="B60" t="s">
        <v>129</v>
      </c>
      <c r="C60" s="12">
        <v>12</v>
      </c>
      <c r="D60" s="8">
        <v>1.9</v>
      </c>
      <c r="E60" s="12">
        <v>9</v>
      </c>
      <c r="F60" s="8">
        <v>3.23</v>
      </c>
      <c r="G60" s="12">
        <v>3</v>
      </c>
      <c r="H60" s="8">
        <v>0.87</v>
      </c>
      <c r="I60" s="12">
        <v>0</v>
      </c>
    </row>
    <row r="61" spans="2:9" ht="15" customHeight="1" x14ac:dyDescent="0.2">
      <c r="B61" t="s">
        <v>124</v>
      </c>
      <c r="C61" s="12">
        <v>11</v>
      </c>
      <c r="D61" s="8">
        <v>1.74</v>
      </c>
      <c r="E61" s="12">
        <v>3</v>
      </c>
      <c r="F61" s="8">
        <v>1.08</v>
      </c>
      <c r="G61" s="12">
        <v>8</v>
      </c>
      <c r="H61" s="8">
        <v>2.33</v>
      </c>
      <c r="I61" s="12">
        <v>0</v>
      </c>
    </row>
    <row r="62" spans="2:9" ht="15" customHeight="1" x14ac:dyDescent="0.2">
      <c r="B62" t="s">
        <v>204</v>
      </c>
      <c r="C62" s="12">
        <v>10</v>
      </c>
      <c r="D62" s="8">
        <v>1.58</v>
      </c>
      <c r="E62" s="12">
        <v>1</v>
      </c>
      <c r="F62" s="8">
        <v>0.36</v>
      </c>
      <c r="G62" s="12">
        <v>9</v>
      </c>
      <c r="H62" s="8">
        <v>2.62</v>
      </c>
      <c r="I62" s="12">
        <v>0</v>
      </c>
    </row>
    <row r="63" spans="2:9" ht="15" customHeight="1" x14ac:dyDescent="0.2">
      <c r="B63" t="s">
        <v>131</v>
      </c>
      <c r="C63" s="12">
        <v>10</v>
      </c>
      <c r="D63" s="8">
        <v>1.58</v>
      </c>
      <c r="E63" s="12">
        <v>0</v>
      </c>
      <c r="F63" s="8">
        <v>0</v>
      </c>
      <c r="G63" s="12">
        <v>10</v>
      </c>
      <c r="H63" s="8">
        <v>2.91</v>
      </c>
      <c r="I63" s="12">
        <v>0</v>
      </c>
    </row>
    <row r="64" spans="2:9" ht="15" customHeight="1" x14ac:dyDescent="0.2">
      <c r="B64" t="s">
        <v>123</v>
      </c>
      <c r="C64" s="12">
        <v>9</v>
      </c>
      <c r="D64" s="8">
        <v>1.42</v>
      </c>
      <c r="E64" s="12">
        <v>0</v>
      </c>
      <c r="F64" s="8">
        <v>0</v>
      </c>
      <c r="G64" s="12">
        <v>9</v>
      </c>
      <c r="H64" s="8">
        <v>2.62</v>
      </c>
      <c r="I64" s="12">
        <v>0</v>
      </c>
    </row>
    <row r="65" spans="2:9" ht="15" customHeight="1" x14ac:dyDescent="0.2">
      <c r="B65" t="s">
        <v>169</v>
      </c>
      <c r="C65" s="12">
        <v>9</v>
      </c>
      <c r="D65" s="8">
        <v>1.42</v>
      </c>
      <c r="E65" s="12">
        <v>5</v>
      </c>
      <c r="F65" s="8">
        <v>1.79</v>
      </c>
      <c r="G65" s="12">
        <v>4</v>
      </c>
      <c r="H65" s="8">
        <v>1.1599999999999999</v>
      </c>
      <c r="I65" s="12">
        <v>0</v>
      </c>
    </row>
    <row r="66" spans="2:9" ht="15" customHeight="1" x14ac:dyDescent="0.2">
      <c r="B66" t="s">
        <v>159</v>
      </c>
      <c r="C66" s="12">
        <v>9</v>
      </c>
      <c r="D66" s="8">
        <v>1.42</v>
      </c>
      <c r="E66" s="12">
        <v>2</v>
      </c>
      <c r="F66" s="8">
        <v>0.72</v>
      </c>
      <c r="G66" s="12">
        <v>7</v>
      </c>
      <c r="H66" s="8">
        <v>2.0299999999999998</v>
      </c>
      <c r="I66" s="12">
        <v>0</v>
      </c>
    </row>
    <row r="67" spans="2:9" ht="15" customHeight="1" x14ac:dyDescent="0.2">
      <c r="B67" t="s">
        <v>144</v>
      </c>
      <c r="C67" s="12">
        <v>9</v>
      </c>
      <c r="D67" s="8">
        <v>1.42</v>
      </c>
      <c r="E67" s="12">
        <v>4</v>
      </c>
      <c r="F67" s="8">
        <v>1.43</v>
      </c>
      <c r="G67" s="12">
        <v>5</v>
      </c>
      <c r="H67" s="8">
        <v>1.45</v>
      </c>
      <c r="I67" s="12">
        <v>0</v>
      </c>
    </row>
    <row r="68" spans="2:9" ht="15" customHeight="1" x14ac:dyDescent="0.2">
      <c r="B68" t="s">
        <v>193</v>
      </c>
      <c r="C68" s="12">
        <v>8</v>
      </c>
      <c r="D68" s="8">
        <v>1.27</v>
      </c>
      <c r="E68" s="12">
        <v>1</v>
      </c>
      <c r="F68" s="8">
        <v>0.36</v>
      </c>
      <c r="G68" s="12">
        <v>7</v>
      </c>
      <c r="H68" s="8">
        <v>2.0299999999999998</v>
      </c>
      <c r="I68" s="12">
        <v>0</v>
      </c>
    </row>
    <row r="69" spans="2:9" ht="15" customHeight="1" x14ac:dyDescent="0.2">
      <c r="B69" t="s">
        <v>126</v>
      </c>
      <c r="C69" s="12">
        <v>8</v>
      </c>
      <c r="D69" s="8">
        <v>1.27</v>
      </c>
      <c r="E69" s="12">
        <v>4</v>
      </c>
      <c r="F69" s="8">
        <v>1.43</v>
      </c>
      <c r="G69" s="12">
        <v>4</v>
      </c>
      <c r="H69" s="8">
        <v>1.1599999999999999</v>
      </c>
      <c r="I69" s="12">
        <v>0</v>
      </c>
    </row>
    <row r="71" spans="2:9" ht="15" customHeight="1" x14ac:dyDescent="0.2">
      <c r="B71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33A52-FF0D-42B5-81EA-99AE58F1EDE6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260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83</v>
      </c>
      <c r="D6" s="8">
        <v>14.9</v>
      </c>
      <c r="E6" s="12">
        <v>20</v>
      </c>
      <c r="F6" s="8">
        <v>6.37</v>
      </c>
      <c r="G6" s="12">
        <v>63</v>
      </c>
      <c r="H6" s="8">
        <v>26.36</v>
      </c>
      <c r="I6" s="12">
        <v>0</v>
      </c>
    </row>
    <row r="7" spans="2:9" ht="15" customHeight="1" x14ac:dyDescent="0.2">
      <c r="B7" t="s">
        <v>53</v>
      </c>
      <c r="C7" s="12">
        <v>51</v>
      </c>
      <c r="D7" s="8">
        <v>9.16</v>
      </c>
      <c r="E7" s="12">
        <v>14</v>
      </c>
      <c r="F7" s="8">
        <v>4.46</v>
      </c>
      <c r="G7" s="12">
        <v>37</v>
      </c>
      <c r="H7" s="8">
        <v>15.48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0.18</v>
      </c>
      <c r="E9" s="12">
        <v>0</v>
      </c>
      <c r="F9" s="8">
        <v>0</v>
      </c>
      <c r="G9" s="12">
        <v>1</v>
      </c>
      <c r="H9" s="8">
        <v>0.42</v>
      </c>
      <c r="I9" s="12">
        <v>0</v>
      </c>
    </row>
    <row r="10" spans="2:9" ht="15" customHeight="1" x14ac:dyDescent="0.2">
      <c r="B10" t="s">
        <v>56</v>
      </c>
      <c r="C10" s="12">
        <v>9</v>
      </c>
      <c r="D10" s="8">
        <v>1.62</v>
      </c>
      <c r="E10" s="12">
        <v>2</v>
      </c>
      <c r="F10" s="8">
        <v>0.64</v>
      </c>
      <c r="G10" s="12">
        <v>7</v>
      </c>
      <c r="H10" s="8">
        <v>2.93</v>
      </c>
      <c r="I10" s="12">
        <v>0</v>
      </c>
    </row>
    <row r="11" spans="2:9" ht="15" customHeight="1" x14ac:dyDescent="0.2">
      <c r="B11" t="s">
        <v>57</v>
      </c>
      <c r="C11" s="12">
        <v>95</v>
      </c>
      <c r="D11" s="8">
        <v>17.059999999999999</v>
      </c>
      <c r="E11" s="12">
        <v>54</v>
      </c>
      <c r="F11" s="8">
        <v>17.2</v>
      </c>
      <c r="G11" s="12">
        <v>41</v>
      </c>
      <c r="H11" s="8">
        <v>17.149999999999999</v>
      </c>
      <c r="I11" s="12">
        <v>0</v>
      </c>
    </row>
    <row r="12" spans="2:9" ht="15" customHeight="1" x14ac:dyDescent="0.2">
      <c r="B12" t="s">
        <v>58</v>
      </c>
      <c r="C12" s="12">
        <v>4</v>
      </c>
      <c r="D12" s="8">
        <v>0.72</v>
      </c>
      <c r="E12" s="12">
        <v>2</v>
      </c>
      <c r="F12" s="8">
        <v>0.64</v>
      </c>
      <c r="G12" s="12">
        <v>2</v>
      </c>
      <c r="H12" s="8">
        <v>0.84</v>
      </c>
      <c r="I12" s="12">
        <v>0</v>
      </c>
    </row>
    <row r="13" spans="2:9" ht="15" customHeight="1" x14ac:dyDescent="0.2">
      <c r="B13" t="s">
        <v>59</v>
      </c>
      <c r="C13" s="12">
        <v>46</v>
      </c>
      <c r="D13" s="8">
        <v>8.26</v>
      </c>
      <c r="E13" s="12">
        <v>13</v>
      </c>
      <c r="F13" s="8">
        <v>4.1399999999999997</v>
      </c>
      <c r="G13" s="12">
        <v>33</v>
      </c>
      <c r="H13" s="8">
        <v>13.81</v>
      </c>
      <c r="I13" s="12">
        <v>0</v>
      </c>
    </row>
    <row r="14" spans="2:9" ht="15" customHeight="1" x14ac:dyDescent="0.2">
      <c r="B14" t="s">
        <v>60</v>
      </c>
      <c r="C14" s="12">
        <v>23</v>
      </c>
      <c r="D14" s="8">
        <v>4.13</v>
      </c>
      <c r="E14" s="12">
        <v>15</v>
      </c>
      <c r="F14" s="8">
        <v>4.78</v>
      </c>
      <c r="G14" s="12">
        <v>8</v>
      </c>
      <c r="H14" s="8">
        <v>3.35</v>
      </c>
      <c r="I14" s="12">
        <v>0</v>
      </c>
    </row>
    <row r="15" spans="2:9" ht="15" customHeight="1" x14ac:dyDescent="0.2">
      <c r="B15" t="s">
        <v>61</v>
      </c>
      <c r="C15" s="12">
        <v>68</v>
      </c>
      <c r="D15" s="8">
        <v>12.21</v>
      </c>
      <c r="E15" s="12">
        <v>63</v>
      </c>
      <c r="F15" s="8">
        <v>20.059999999999999</v>
      </c>
      <c r="G15" s="12">
        <v>5</v>
      </c>
      <c r="H15" s="8">
        <v>2.09</v>
      </c>
      <c r="I15" s="12">
        <v>0</v>
      </c>
    </row>
    <row r="16" spans="2:9" ht="15" customHeight="1" x14ac:dyDescent="0.2">
      <c r="B16" t="s">
        <v>62</v>
      </c>
      <c r="C16" s="12">
        <v>94</v>
      </c>
      <c r="D16" s="8">
        <v>16.88</v>
      </c>
      <c r="E16" s="12">
        <v>80</v>
      </c>
      <c r="F16" s="8">
        <v>25.48</v>
      </c>
      <c r="G16" s="12">
        <v>13</v>
      </c>
      <c r="H16" s="8">
        <v>5.44</v>
      </c>
      <c r="I16" s="12">
        <v>1</v>
      </c>
    </row>
    <row r="17" spans="2:9" ht="15" customHeight="1" x14ac:dyDescent="0.2">
      <c r="B17" t="s">
        <v>63</v>
      </c>
      <c r="C17" s="12">
        <v>35</v>
      </c>
      <c r="D17" s="8">
        <v>6.28</v>
      </c>
      <c r="E17" s="12">
        <v>28</v>
      </c>
      <c r="F17" s="8">
        <v>8.92</v>
      </c>
      <c r="G17" s="12">
        <v>7</v>
      </c>
      <c r="H17" s="8">
        <v>2.93</v>
      </c>
      <c r="I17" s="12">
        <v>0</v>
      </c>
    </row>
    <row r="18" spans="2:9" ht="15" customHeight="1" x14ac:dyDescent="0.2">
      <c r="B18" t="s">
        <v>64</v>
      </c>
      <c r="C18" s="12">
        <v>33</v>
      </c>
      <c r="D18" s="8">
        <v>5.92</v>
      </c>
      <c r="E18" s="12">
        <v>18</v>
      </c>
      <c r="F18" s="8">
        <v>5.73</v>
      </c>
      <c r="G18" s="12">
        <v>13</v>
      </c>
      <c r="H18" s="8">
        <v>5.44</v>
      </c>
      <c r="I18" s="12">
        <v>0</v>
      </c>
    </row>
    <row r="19" spans="2:9" ht="15" customHeight="1" x14ac:dyDescent="0.2">
      <c r="B19" t="s">
        <v>65</v>
      </c>
      <c r="C19" s="12">
        <v>15</v>
      </c>
      <c r="D19" s="8">
        <v>2.69</v>
      </c>
      <c r="E19" s="12">
        <v>5</v>
      </c>
      <c r="F19" s="8">
        <v>1.59</v>
      </c>
      <c r="G19" s="12">
        <v>9</v>
      </c>
      <c r="H19" s="8">
        <v>3.77</v>
      </c>
      <c r="I19" s="12">
        <v>1</v>
      </c>
    </row>
    <row r="20" spans="2:9" ht="15" customHeight="1" x14ac:dyDescent="0.2">
      <c r="B20" s="9" t="s">
        <v>215</v>
      </c>
      <c r="C20" s="12">
        <f>SUM(LTBL_28382[総数／事業所数])</f>
        <v>557</v>
      </c>
      <c r="E20" s="12">
        <f>SUBTOTAL(109,LTBL_28382[個人／事業所数])</f>
        <v>314</v>
      </c>
      <c r="G20" s="12">
        <f>SUBTOTAL(109,LTBL_28382[法人／事業所数])</f>
        <v>239</v>
      </c>
      <c r="I20" s="12">
        <f>SUBTOTAL(109,LTBL_28382[法人以外の団体／事業所数])</f>
        <v>2</v>
      </c>
    </row>
    <row r="21" spans="2:9" ht="15" customHeight="1" x14ac:dyDescent="0.2">
      <c r="E21" s="11">
        <f>LTBL_28382[[#Totals],[個人／事業所数]]/LTBL_28382[[#Totals],[総数／事業所数]]</f>
        <v>0.56373429084380611</v>
      </c>
      <c r="G21" s="11">
        <f>LTBL_28382[[#Totals],[法人／事業所数]]/LTBL_28382[[#Totals],[総数／事業所数]]</f>
        <v>0.42908438061041293</v>
      </c>
      <c r="I21" s="11">
        <f>LTBL_28382[[#Totals],[法人以外の団体／事業所数]]/LTBL_28382[[#Totals],[総数／事業所数]]</f>
        <v>3.5906642728904849E-3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76</v>
      </c>
      <c r="D24" s="8">
        <v>13.64</v>
      </c>
      <c r="E24" s="12">
        <v>67</v>
      </c>
      <c r="F24" s="8">
        <v>21.34</v>
      </c>
      <c r="G24" s="12">
        <v>9</v>
      </c>
      <c r="H24" s="8">
        <v>3.77</v>
      </c>
      <c r="I24" s="12">
        <v>0</v>
      </c>
    </row>
    <row r="25" spans="2:9" ht="15" customHeight="1" x14ac:dyDescent="0.2">
      <c r="B25" t="s">
        <v>88</v>
      </c>
      <c r="C25" s="12">
        <v>65</v>
      </c>
      <c r="D25" s="8">
        <v>11.67</v>
      </c>
      <c r="E25" s="12">
        <v>63</v>
      </c>
      <c r="F25" s="8">
        <v>20.059999999999999</v>
      </c>
      <c r="G25" s="12">
        <v>2</v>
      </c>
      <c r="H25" s="8">
        <v>0.84</v>
      </c>
      <c r="I25" s="12">
        <v>0</v>
      </c>
    </row>
    <row r="26" spans="2:9" ht="15" customHeight="1" x14ac:dyDescent="0.2">
      <c r="B26" t="s">
        <v>74</v>
      </c>
      <c r="C26" s="12">
        <v>37</v>
      </c>
      <c r="D26" s="8">
        <v>6.64</v>
      </c>
      <c r="E26" s="12">
        <v>4</v>
      </c>
      <c r="F26" s="8">
        <v>1.27</v>
      </c>
      <c r="G26" s="12">
        <v>33</v>
      </c>
      <c r="H26" s="8">
        <v>13.81</v>
      </c>
      <c r="I26" s="12">
        <v>0</v>
      </c>
    </row>
    <row r="27" spans="2:9" ht="15" customHeight="1" x14ac:dyDescent="0.2">
      <c r="B27" t="s">
        <v>91</v>
      </c>
      <c r="C27" s="12">
        <v>35</v>
      </c>
      <c r="D27" s="8">
        <v>6.28</v>
      </c>
      <c r="E27" s="12">
        <v>28</v>
      </c>
      <c r="F27" s="8">
        <v>8.92</v>
      </c>
      <c r="G27" s="12">
        <v>7</v>
      </c>
      <c r="H27" s="8">
        <v>2.93</v>
      </c>
      <c r="I27" s="12">
        <v>0</v>
      </c>
    </row>
    <row r="28" spans="2:9" ht="15" customHeight="1" x14ac:dyDescent="0.2">
      <c r="B28" t="s">
        <v>83</v>
      </c>
      <c r="C28" s="12">
        <v>26</v>
      </c>
      <c r="D28" s="8">
        <v>4.67</v>
      </c>
      <c r="E28" s="12">
        <v>15</v>
      </c>
      <c r="F28" s="8">
        <v>4.78</v>
      </c>
      <c r="G28" s="12">
        <v>11</v>
      </c>
      <c r="H28" s="8">
        <v>4.5999999999999996</v>
      </c>
      <c r="I28" s="12">
        <v>0</v>
      </c>
    </row>
    <row r="29" spans="2:9" ht="15" customHeight="1" x14ac:dyDescent="0.2">
      <c r="B29" t="s">
        <v>85</v>
      </c>
      <c r="C29" s="12">
        <v>26</v>
      </c>
      <c r="D29" s="8">
        <v>4.67</v>
      </c>
      <c r="E29" s="12">
        <v>7</v>
      </c>
      <c r="F29" s="8">
        <v>2.23</v>
      </c>
      <c r="G29" s="12">
        <v>19</v>
      </c>
      <c r="H29" s="8">
        <v>7.95</v>
      </c>
      <c r="I29" s="12">
        <v>0</v>
      </c>
    </row>
    <row r="30" spans="2:9" ht="15" customHeight="1" x14ac:dyDescent="0.2">
      <c r="B30" t="s">
        <v>76</v>
      </c>
      <c r="C30" s="12">
        <v>24</v>
      </c>
      <c r="D30" s="8">
        <v>4.3099999999999996</v>
      </c>
      <c r="E30" s="12">
        <v>4</v>
      </c>
      <c r="F30" s="8">
        <v>1.27</v>
      </c>
      <c r="G30" s="12">
        <v>20</v>
      </c>
      <c r="H30" s="8">
        <v>8.3699999999999992</v>
      </c>
      <c r="I30" s="12">
        <v>0</v>
      </c>
    </row>
    <row r="31" spans="2:9" ht="15" customHeight="1" x14ac:dyDescent="0.2">
      <c r="B31" t="s">
        <v>75</v>
      </c>
      <c r="C31" s="12">
        <v>22</v>
      </c>
      <c r="D31" s="8">
        <v>3.95</v>
      </c>
      <c r="E31" s="12">
        <v>12</v>
      </c>
      <c r="F31" s="8">
        <v>3.82</v>
      </c>
      <c r="G31" s="12">
        <v>10</v>
      </c>
      <c r="H31" s="8">
        <v>4.18</v>
      </c>
      <c r="I31" s="12">
        <v>0</v>
      </c>
    </row>
    <row r="32" spans="2:9" ht="15" customHeight="1" x14ac:dyDescent="0.2">
      <c r="B32" t="s">
        <v>82</v>
      </c>
      <c r="C32" s="12">
        <v>20</v>
      </c>
      <c r="D32" s="8">
        <v>3.59</v>
      </c>
      <c r="E32" s="12">
        <v>10</v>
      </c>
      <c r="F32" s="8">
        <v>3.18</v>
      </c>
      <c r="G32" s="12">
        <v>10</v>
      </c>
      <c r="H32" s="8">
        <v>4.18</v>
      </c>
      <c r="I32" s="12">
        <v>0</v>
      </c>
    </row>
    <row r="33" spans="2:9" ht="15" customHeight="1" x14ac:dyDescent="0.2">
      <c r="B33" t="s">
        <v>92</v>
      </c>
      <c r="C33" s="12">
        <v>20</v>
      </c>
      <c r="D33" s="8">
        <v>3.59</v>
      </c>
      <c r="E33" s="12">
        <v>18</v>
      </c>
      <c r="F33" s="8">
        <v>5.73</v>
      </c>
      <c r="G33" s="12">
        <v>2</v>
      </c>
      <c r="H33" s="8">
        <v>0.84</v>
      </c>
      <c r="I33" s="12">
        <v>0</v>
      </c>
    </row>
    <row r="34" spans="2:9" ht="15" customHeight="1" x14ac:dyDescent="0.2">
      <c r="B34" t="s">
        <v>84</v>
      </c>
      <c r="C34" s="12">
        <v>18</v>
      </c>
      <c r="D34" s="8">
        <v>3.23</v>
      </c>
      <c r="E34" s="12">
        <v>6</v>
      </c>
      <c r="F34" s="8">
        <v>1.91</v>
      </c>
      <c r="G34" s="12">
        <v>12</v>
      </c>
      <c r="H34" s="8">
        <v>5.0199999999999996</v>
      </c>
      <c r="I34" s="12">
        <v>0</v>
      </c>
    </row>
    <row r="35" spans="2:9" ht="15" customHeight="1" x14ac:dyDescent="0.2">
      <c r="B35" t="s">
        <v>86</v>
      </c>
      <c r="C35" s="12">
        <v>18</v>
      </c>
      <c r="D35" s="8">
        <v>3.23</v>
      </c>
      <c r="E35" s="12">
        <v>12</v>
      </c>
      <c r="F35" s="8">
        <v>3.82</v>
      </c>
      <c r="G35" s="12">
        <v>6</v>
      </c>
      <c r="H35" s="8">
        <v>2.5099999999999998</v>
      </c>
      <c r="I35" s="12">
        <v>0</v>
      </c>
    </row>
    <row r="36" spans="2:9" ht="15" customHeight="1" x14ac:dyDescent="0.2">
      <c r="B36" t="s">
        <v>81</v>
      </c>
      <c r="C36" s="12">
        <v>16</v>
      </c>
      <c r="D36" s="8">
        <v>2.87</v>
      </c>
      <c r="E36" s="12">
        <v>14</v>
      </c>
      <c r="F36" s="8">
        <v>4.46</v>
      </c>
      <c r="G36" s="12">
        <v>2</v>
      </c>
      <c r="H36" s="8">
        <v>0.84</v>
      </c>
      <c r="I36" s="12">
        <v>0</v>
      </c>
    </row>
    <row r="37" spans="2:9" ht="15" customHeight="1" x14ac:dyDescent="0.2">
      <c r="B37" t="s">
        <v>90</v>
      </c>
      <c r="C37" s="12">
        <v>16</v>
      </c>
      <c r="D37" s="8">
        <v>2.87</v>
      </c>
      <c r="E37" s="12">
        <v>11</v>
      </c>
      <c r="F37" s="8">
        <v>3.5</v>
      </c>
      <c r="G37" s="12">
        <v>4</v>
      </c>
      <c r="H37" s="8">
        <v>1.67</v>
      </c>
      <c r="I37" s="12">
        <v>1</v>
      </c>
    </row>
    <row r="38" spans="2:9" ht="15" customHeight="1" x14ac:dyDescent="0.2">
      <c r="B38" t="s">
        <v>93</v>
      </c>
      <c r="C38" s="12">
        <v>13</v>
      </c>
      <c r="D38" s="8">
        <v>2.33</v>
      </c>
      <c r="E38" s="12">
        <v>0</v>
      </c>
      <c r="F38" s="8">
        <v>0</v>
      </c>
      <c r="G38" s="12">
        <v>11</v>
      </c>
      <c r="H38" s="8">
        <v>4.5999999999999996</v>
      </c>
      <c r="I38" s="12">
        <v>0</v>
      </c>
    </row>
    <row r="39" spans="2:9" ht="15" customHeight="1" x14ac:dyDescent="0.2">
      <c r="B39" t="s">
        <v>77</v>
      </c>
      <c r="C39" s="12">
        <v>10</v>
      </c>
      <c r="D39" s="8">
        <v>1.8</v>
      </c>
      <c r="E39" s="12">
        <v>3</v>
      </c>
      <c r="F39" s="8">
        <v>0.96</v>
      </c>
      <c r="G39" s="12">
        <v>7</v>
      </c>
      <c r="H39" s="8">
        <v>2.93</v>
      </c>
      <c r="I39" s="12">
        <v>0</v>
      </c>
    </row>
    <row r="40" spans="2:9" ht="15" customHeight="1" x14ac:dyDescent="0.2">
      <c r="B40" t="s">
        <v>97</v>
      </c>
      <c r="C40" s="12">
        <v>9</v>
      </c>
      <c r="D40" s="8">
        <v>1.62</v>
      </c>
      <c r="E40" s="12">
        <v>4</v>
      </c>
      <c r="F40" s="8">
        <v>1.27</v>
      </c>
      <c r="G40" s="12">
        <v>5</v>
      </c>
      <c r="H40" s="8">
        <v>2.09</v>
      </c>
      <c r="I40" s="12">
        <v>0</v>
      </c>
    </row>
    <row r="41" spans="2:9" ht="15" customHeight="1" x14ac:dyDescent="0.2">
      <c r="B41" t="s">
        <v>100</v>
      </c>
      <c r="C41" s="12">
        <v>8</v>
      </c>
      <c r="D41" s="8">
        <v>1.44</v>
      </c>
      <c r="E41" s="12">
        <v>1</v>
      </c>
      <c r="F41" s="8">
        <v>0.32</v>
      </c>
      <c r="G41" s="12">
        <v>7</v>
      </c>
      <c r="H41" s="8">
        <v>2.93</v>
      </c>
      <c r="I41" s="12">
        <v>0</v>
      </c>
    </row>
    <row r="42" spans="2:9" ht="15" customHeight="1" x14ac:dyDescent="0.2">
      <c r="B42" t="s">
        <v>115</v>
      </c>
      <c r="C42" s="12">
        <v>7</v>
      </c>
      <c r="D42" s="8">
        <v>1.26</v>
      </c>
      <c r="E42" s="12">
        <v>0</v>
      </c>
      <c r="F42" s="8">
        <v>0</v>
      </c>
      <c r="G42" s="12">
        <v>7</v>
      </c>
      <c r="H42" s="8">
        <v>2.93</v>
      </c>
      <c r="I42" s="12">
        <v>0</v>
      </c>
    </row>
    <row r="43" spans="2:9" ht="15" customHeight="1" x14ac:dyDescent="0.2">
      <c r="B43" t="s">
        <v>79</v>
      </c>
      <c r="C43" s="12">
        <v>7</v>
      </c>
      <c r="D43" s="8">
        <v>1.26</v>
      </c>
      <c r="E43" s="12">
        <v>2</v>
      </c>
      <c r="F43" s="8">
        <v>0.64</v>
      </c>
      <c r="G43" s="12">
        <v>5</v>
      </c>
      <c r="H43" s="8">
        <v>2.09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39</v>
      </c>
      <c r="D47" s="8">
        <v>7</v>
      </c>
      <c r="E47" s="12">
        <v>34</v>
      </c>
      <c r="F47" s="8">
        <v>10.83</v>
      </c>
      <c r="G47" s="12">
        <v>5</v>
      </c>
      <c r="H47" s="8">
        <v>2.09</v>
      </c>
      <c r="I47" s="12">
        <v>0</v>
      </c>
    </row>
    <row r="48" spans="2:9" ht="15" customHeight="1" x14ac:dyDescent="0.2">
      <c r="B48" t="s">
        <v>134</v>
      </c>
      <c r="C48" s="12">
        <v>23</v>
      </c>
      <c r="D48" s="8">
        <v>4.13</v>
      </c>
      <c r="E48" s="12">
        <v>23</v>
      </c>
      <c r="F48" s="8">
        <v>7.32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140</v>
      </c>
      <c r="C49" s="12">
        <v>21</v>
      </c>
      <c r="D49" s="8">
        <v>3.77</v>
      </c>
      <c r="E49" s="12">
        <v>19</v>
      </c>
      <c r="F49" s="8">
        <v>6.05</v>
      </c>
      <c r="G49" s="12">
        <v>2</v>
      </c>
      <c r="H49" s="8">
        <v>0.84</v>
      </c>
      <c r="I49" s="12">
        <v>0</v>
      </c>
    </row>
    <row r="50" spans="2:9" ht="15" customHeight="1" x14ac:dyDescent="0.2">
      <c r="B50" t="s">
        <v>137</v>
      </c>
      <c r="C50" s="12">
        <v>20</v>
      </c>
      <c r="D50" s="8">
        <v>3.59</v>
      </c>
      <c r="E50" s="12">
        <v>20</v>
      </c>
      <c r="F50" s="8">
        <v>6.37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141</v>
      </c>
      <c r="C51" s="12">
        <v>19</v>
      </c>
      <c r="D51" s="8">
        <v>3.41</v>
      </c>
      <c r="E51" s="12">
        <v>17</v>
      </c>
      <c r="F51" s="8">
        <v>5.41</v>
      </c>
      <c r="G51" s="12">
        <v>2</v>
      </c>
      <c r="H51" s="8">
        <v>0.84</v>
      </c>
      <c r="I51" s="12">
        <v>0</v>
      </c>
    </row>
    <row r="52" spans="2:9" ht="15" customHeight="1" x14ac:dyDescent="0.2">
      <c r="B52" t="s">
        <v>122</v>
      </c>
      <c r="C52" s="12">
        <v>17</v>
      </c>
      <c r="D52" s="8">
        <v>3.05</v>
      </c>
      <c r="E52" s="12">
        <v>1</v>
      </c>
      <c r="F52" s="8">
        <v>0.32</v>
      </c>
      <c r="G52" s="12">
        <v>16</v>
      </c>
      <c r="H52" s="8">
        <v>6.69</v>
      </c>
      <c r="I52" s="12">
        <v>0</v>
      </c>
    </row>
    <row r="53" spans="2:9" ht="15" customHeight="1" x14ac:dyDescent="0.2">
      <c r="B53" t="s">
        <v>123</v>
      </c>
      <c r="C53" s="12">
        <v>15</v>
      </c>
      <c r="D53" s="8">
        <v>2.69</v>
      </c>
      <c r="E53" s="12">
        <v>2</v>
      </c>
      <c r="F53" s="8">
        <v>0.64</v>
      </c>
      <c r="G53" s="12">
        <v>13</v>
      </c>
      <c r="H53" s="8">
        <v>5.44</v>
      </c>
      <c r="I53" s="12">
        <v>0</v>
      </c>
    </row>
    <row r="54" spans="2:9" ht="15" customHeight="1" x14ac:dyDescent="0.2">
      <c r="B54" t="s">
        <v>132</v>
      </c>
      <c r="C54" s="12">
        <v>15</v>
      </c>
      <c r="D54" s="8">
        <v>2.69</v>
      </c>
      <c r="E54" s="12">
        <v>5</v>
      </c>
      <c r="F54" s="8">
        <v>1.59</v>
      </c>
      <c r="G54" s="12">
        <v>10</v>
      </c>
      <c r="H54" s="8">
        <v>4.18</v>
      </c>
      <c r="I54" s="12">
        <v>0</v>
      </c>
    </row>
    <row r="55" spans="2:9" ht="15" customHeight="1" x14ac:dyDescent="0.2">
      <c r="B55" t="s">
        <v>136</v>
      </c>
      <c r="C55" s="12">
        <v>13</v>
      </c>
      <c r="D55" s="8">
        <v>2.33</v>
      </c>
      <c r="E55" s="12">
        <v>13</v>
      </c>
      <c r="F55" s="8">
        <v>4.1399999999999997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127</v>
      </c>
      <c r="C56" s="12">
        <v>12</v>
      </c>
      <c r="D56" s="8">
        <v>2.15</v>
      </c>
      <c r="E56" s="12">
        <v>7</v>
      </c>
      <c r="F56" s="8">
        <v>2.23</v>
      </c>
      <c r="G56" s="12">
        <v>5</v>
      </c>
      <c r="H56" s="8">
        <v>2.09</v>
      </c>
      <c r="I56" s="12">
        <v>0</v>
      </c>
    </row>
    <row r="57" spans="2:9" ht="15" customHeight="1" x14ac:dyDescent="0.2">
      <c r="B57" t="s">
        <v>139</v>
      </c>
      <c r="C57" s="12">
        <v>12</v>
      </c>
      <c r="D57" s="8">
        <v>2.15</v>
      </c>
      <c r="E57" s="12">
        <v>9</v>
      </c>
      <c r="F57" s="8">
        <v>2.87</v>
      </c>
      <c r="G57" s="12">
        <v>3</v>
      </c>
      <c r="H57" s="8">
        <v>1.26</v>
      </c>
      <c r="I57" s="12">
        <v>0</v>
      </c>
    </row>
    <row r="58" spans="2:9" ht="15" customHeight="1" x14ac:dyDescent="0.2">
      <c r="B58" t="s">
        <v>159</v>
      </c>
      <c r="C58" s="12">
        <v>11</v>
      </c>
      <c r="D58" s="8">
        <v>1.97</v>
      </c>
      <c r="E58" s="12">
        <v>3</v>
      </c>
      <c r="F58" s="8">
        <v>0.96</v>
      </c>
      <c r="G58" s="12">
        <v>8</v>
      </c>
      <c r="H58" s="8">
        <v>3.35</v>
      </c>
      <c r="I58" s="12">
        <v>0</v>
      </c>
    </row>
    <row r="59" spans="2:9" ht="15" customHeight="1" x14ac:dyDescent="0.2">
      <c r="B59" t="s">
        <v>129</v>
      </c>
      <c r="C59" s="12">
        <v>10</v>
      </c>
      <c r="D59" s="8">
        <v>1.8</v>
      </c>
      <c r="E59" s="12">
        <v>7</v>
      </c>
      <c r="F59" s="8">
        <v>2.23</v>
      </c>
      <c r="G59" s="12">
        <v>3</v>
      </c>
      <c r="H59" s="8">
        <v>1.26</v>
      </c>
      <c r="I59" s="12">
        <v>0</v>
      </c>
    </row>
    <row r="60" spans="2:9" ht="15" customHeight="1" x14ac:dyDescent="0.2">
      <c r="B60" t="s">
        <v>205</v>
      </c>
      <c r="C60" s="12">
        <v>9</v>
      </c>
      <c r="D60" s="8">
        <v>1.62</v>
      </c>
      <c r="E60" s="12">
        <v>2</v>
      </c>
      <c r="F60" s="8">
        <v>0.64</v>
      </c>
      <c r="G60" s="12">
        <v>7</v>
      </c>
      <c r="H60" s="8">
        <v>2.93</v>
      </c>
      <c r="I60" s="12">
        <v>0</v>
      </c>
    </row>
    <row r="61" spans="2:9" ht="15" customHeight="1" x14ac:dyDescent="0.2">
      <c r="B61" t="s">
        <v>130</v>
      </c>
      <c r="C61" s="12">
        <v>9</v>
      </c>
      <c r="D61" s="8">
        <v>1.62</v>
      </c>
      <c r="E61" s="12">
        <v>4</v>
      </c>
      <c r="F61" s="8">
        <v>1.27</v>
      </c>
      <c r="G61" s="12">
        <v>5</v>
      </c>
      <c r="H61" s="8">
        <v>2.09</v>
      </c>
      <c r="I61" s="12">
        <v>0</v>
      </c>
    </row>
    <row r="62" spans="2:9" ht="15" customHeight="1" x14ac:dyDescent="0.2">
      <c r="B62" t="s">
        <v>146</v>
      </c>
      <c r="C62" s="12">
        <v>9</v>
      </c>
      <c r="D62" s="8">
        <v>1.62</v>
      </c>
      <c r="E62" s="12">
        <v>7</v>
      </c>
      <c r="F62" s="8">
        <v>2.23</v>
      </c>
      <c r="G62" s="12">
        <v>2</v>
      </c>
      <c r="H62" s="8">
        <v>0.84</v>
      </c>
      <c r="I62" s="12">
        <v>0</v>
      </c>
    </row>
    <row r="63" spans="2:9" ht="15" customHeight="1" x14ac:dyDescent="0.2">
      <c r="B63" t="s">
        <v>206</v>
      </c>
      <c r="C63" s="12">
        <v>9</v>
      </c>
      <c r="D63" s="8">
        <v>1.62</v>
      </c>
      <c r="E63" s="12">
        <v>7</v>
      </c>
      <c r="F63" s="8">
        <v>2.23</v>
      </c>
      <c r="G63" s="12">
        <v>1</v>
      </c>
      <c r="H63" s="8">
        <v>0.42</v>
      </c>
      <c r="I63" s="12">
        <v>1</v>
      </c>
    </row>
    <row r="64" spans="2:9" ht="15" customHeight="1" x14ac:dyDescent="0.2">
      <c r="B64" t="s">
        <v>128</v>
      </c>
      <c r="C64" s="12">
        <v>8</v>
      </c>
      <c r="D64" s="8">
        <v>1.44</v>
      </c>
      <c r="E64" s="12">
        <v>4</v>
      </c>
      <c r="F64" s="8">
        <v>1.27</v>
      </c>
      <c r="G64" s="12">
        <v>4</v>
      </c>
      <c r="H64" s="8">
        <v>1.67</v>
      </c>
      <c r="I64" s="12">
        <v>0</v>
      </c>
    </row>
    <row r="65" spans="2:9" ht="15" customHeight="1" x14ac:dyDescent="0.2">
      <c r="B65" t="s">
        <v>131</v>
      </c>
      <c r="C65" s="12">
        <v>8</v>
      </c>
      <c r="D65" s="8">
        <v>1.44</v>
      </c>
      <c r="E65" s="12">
        <v>1</v>
      </c>
      <c r="F65" s="8">
        <v>0.32</v>
      </c>
      <c r="G65" s="12">
        <v>7</v>
      </c>
      <c r="H65" s="8">
        <v>2.93</v>
      </c>
      <c r="I65" s="12">
        <v>0</v>
      </c>
    </row>
    <row r="66" spans="2:9" ht="15" customHeight="1" x14ac:dyDescent="0.2">
      <c r="B66" t="s">
        <v>135</v>
      </c>
      <c r="C66" s="12">
        <v>8</v>
      </c>
      <c r="D66" s="8">
        <v>1.44</v>
      </c>
      <c r="E66" s="12">
        <v>8</v>
      </c>
      <c r="F66" s="8">
        <v>2.5499999999999998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145</v>
      </c>
      <c r="C67" s="12">
        <v>8</v>
      </c>
      <c r="D67" s="8">
        <v>1.44</v>
      </c>
      <c r="E67" s="12">
        <v>8</v>
      </c>
      <c r="F67" s="8">
        <v>2.5499999999999998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166</v>
      </c>
      <c r="C68" s="12">
        <v>8</v>
      </c>
      <c r="D68" s="8">
        <v>1.44</v>
      </c>
      <c r="E68" s="12">
        <v>6</v>
      </c>
      <c r="F68" s="8">
        <v>1.91</v>
      </c>
      <c r="G68" s="12">
        <v>2</v>
      </c>
      <c r="H68" s="8">
        <v>0.84</v>
      </c>
      <c r="I68" s="12">
        <v>0</v>
      </c>
    </row>
    <row r="70" spans="2:9" ht="15" customHeight="1" x14ac:dyDescent="0.2">
      <c r="B70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EEB56-F7B7-479A-AFE7-1F82D3C379FE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261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68</v>
      </c>
      <c r="D6" s="8">
        <v>22.74</v>
      </c>
      <c r="E6" s="12">
        <v>50</v>
      </c>
      <c r="F6" s="8">
        <v>23.15</v>
      </c>
      <c r="G6" s="12">
        <v>18</v>
      </c>
      <c r="H6" s="8">
        <v>23.08</v>
      </c>
      <c r="I6" s="12">
        <v>0</v>
      </c>
    </row>
    <row r="7" spans="2:9" ht="15" customHeight="1" x14ac:dyDescent="0.2">
      <c r="B7" t="s">
        <v>53</v>
      </c>
      <c r="C7" s="12">
        <v>72</v>
      </c>
      <c r="D7" s="8">
        <v>24.08</v>
      </c>
      <c r="E7" s="12">
        <v>41</v>
      </c>
      <c r="F7" s="8">
        <v>18.98</v>
      </c>
      <c r="G7" s="12">
        <v>31</v>
      </c>
      <c r="H7" s="8">
        <v>39.74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4</v>
      </c>
      <c r="D10" s="8">
        <v>1.34</v>
      </c>
      <c r="E10" s="12">
        <v>1</v>
      </c>
      <c r="F10" s="8">
        <v>0.46</v>
      </c>
      <c r="G10" s="12">
        <v>2</v>
      </c>
      <c r="H10" s="8">
        <v>2.56</v>
      </c>
      <c r="I10" s="12">
        <v>1</v>
      </c>
    </row>
    <row r="11" spans="2:9" ht="15" customHeight="1" x14ac:dyDescent="0.2">
      <c r="B11" t="s">
        <v>57</v>
      </c>
      <c r="C11" s="12">
        <v>58</v>
      </c>
      <c r="D11" s="8">
        <v>19.399999999999999</v>
      </c>
      <c r="E11" s="12">
        <v>44</v>
      </c>
      <c r="F11" s="8">
        <v>20.37</v>
      </c>
      <c r="G11" s="12">
        <v>14</v>
      </c>
      <c r="H11" s="8">
        <v>17.95</v>
      </c>
      <c r="I11" s="12">
        <v>0</v>
      </c>
    </row>
    <row r="12" spans="2:9" ht="15" customHeight="1" x14ac:dyDescent="0.2">
      <c r="B12" t="s">
        <v>58</v>
      </c>
      <c r="C12" s="12">
        <v>1</v>
      </c>
      <c r="D12" s="8">
        <v>0.33</v>
      </c>
      <c r="E12" s="12">
        <v>1</v>
      </c>
      <c r="F12" s="8">
        <v>0.46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6</v>
      </c>
      <c r="D13" s="8">
        <v>2.0099999999999998</v>
      </c>
      <c r="E13" s="12">
        <v>4</v>
      </c>
      <c r="F13" s="8">
        <v>1.85</v>
      </c>
      <c r="G13" s="12">
        <v>1</v>
      </c>
      <c r="H13" s="8">
        <v>1.28</v>
      </c>
      <c r="I13" s="12">
        <v>1</v>
      </c>
    </row>
    <row r="14" spans="2:9" ht="15" customHeight="1" x14ac:dyDescent="0.2">
      <c r="B14" t="s">
        <v>60</v>
      </c>
      <c r="C14" s="12">
        <v>12</v>
      </c>
      <c r="D14" s="8">
        <v>4.01</v>
      </c>
      <c r="E14" s="12">
        <v>8</v>
      </c>
      <c r="F14" s="8">
        <v>3.7</v>
      </c>
      <c r="G14" s="12">
        <v>4</v>
      </c>
      <c r="H14" s="8">
        <v>5.13</v>
      </c>
      <c r="I14" s="12">
        <v>0</v>
      </c>
    </row>
    <row r="15" spans="2:9" ht="15" customHeight="1" x14ac:dyDescent="0.2">
      <c r="B15" t="s">
        <v>61</v>
      </c>
      <c r="C15" s="12">
        <v>20</v>
      </c>
      <c r="D15" s="8">
        <v>6.69</v>
      </c>
      <c r="E15" s="12">
        <v>19</v>
      </c>
      <c r="F15" s="8">
        <v>8.8000000000000007</v>
      </c>
      <c r="G15" s="12">
        <v>1</v>
      </c>
      <c r="H15" s="8">
        <v>1.28</v>
      </c>
      <c r="I15" s="12">
        <v>0</v>
      </c>
    </row>
    <row r="16" spans="2:9" ht="15" customHeight="1" x14ac:dyDescent="0.2">
      <c r="B16" t="s">
        <v>62</v>
      </c>
      <c r="C16" s="12">
        <v>29</v>
      </c>
      <c r="D16" s="8">
        <v>9.6999999999999993</v>
      </c>
      <c r="E16" s="12">
        <v>23</v>
      </c>
      <c r="F16" s="8">
        <v>10.65</v>
      </c>
      <c r="G16" s="12">
        <v>5</v>
      </c>
      <c r="H16" s="8">
        <v>6.41</v>
      </c>
      <c r="I16" s="12">
        <v>0</v>
      </c>
    </row>
    <row r="17" spans="2:9" ht="15" customHeight="1" x14ac:dyDescent="0.2">
      <c r="B17" t="s">
        <v>63</v>
      </c>
      <c r="C17" s="12">
        <v>10</v>
      </c>
      <c r="D17" s="8">
        <v>3.34</v>
      </c>
      <c r="E17" s="12">
        <v>9</v>
      </c>
      <c r="F17" s="8">
        <v>4.17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9</v>
      </c>
      <c r="D18" s="8">
        <v>3.01</v>
      </c>
      <c r="E18" s="12">
        <v>8</v>
      </c>
      <c r="F18" s="8">
        <v>3.7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65</v>
      </c>
      <c r="C19" s="12">
        <v>10</v>
      </c>
      <c r="D19" s="8">
        <v>3.34</v>
      </c>
      <c r="E19" s="12">
        <v>8</v>
      </c>
      <c r="F19" s="8">
        <v>3.7</v>
      </c>
      <c r="G19" s="12">
        <v>2</v>
      </c>
      <c r="H19" s="8">
        <v>2.56</v>
      </c>
      <c r="I19" s="12">
        <v>0</v>
      </c>
    </row>
    <row r="20" spans="2:9" ht="15" customHeight="1" x14ac:dyDescent="0.2">
      <c r="B20" s="9" t="s">
        <v>215</v>
      </c>
      <c r="C20" s="12">
        <f>SUM(LTBL_28442[総数／事業所数])</f>
        <v>299</v>
      </c>
      <c r="E20" s="12">
        <f>SUBTOTAL(109,LTBL_28442[個人／事業所数])</f>
        <v>216</v>
      </c>
      <c r="G20" s="12">
        <f>SUBTOTAL(109,LTBL_28442[法人／事業所数])</f>
        <v>78</v>
      </c>
      <c r="I20" s="12">
        <f>SUBTOTAL(109,LTBL_28442[法人以外の団体／事業所数])</f>
        <v>2</v>
      </c>
    </row>
    <row r="21" spans="2:9" ht="15" customHeight="1" x14ac:dyDescent="0.2">
      <c r="E21" s="11">
        <f>LTBL_28442[[#Totals],[個人／事業所数]]/LTBL_28442[[#Totals],[総数／事業所数]]</f>
        <v>0.72240802675585281</v>
      </c>
      <c r="G21" s="11">
        <f>LTBL_28442[[#Totals],[法人／事業所数]]/LTBL_28442[[#Totals],[総数／事業所数]]</f>
        <v>0.2608695652173913</v>
      </c>
      <c r="I21" s="11">
        <f>LTBL_28442[[#Totals],[法人以外の団体／事業所数]]/LTBL_28442[[#Totals],[総数／事業所数]]</f>
        <v>6.688963210702341E-3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38</v>
      </c>
      <c r="D24" s="8">
        <v>12.71</v>
      </c>
      <c r="E24" s="12">
        <v>22</v>
      </c>
      <c r="F24" s="8">
        <v>10.19</v>
      </c>
      <c r="G24" s="12">
        <v>16</v>
      </c>
      <c r="H24" s="8">
        <v>20.51</v>
      </c>
      <c r="I24" s="12">
        <v>0</v>
      </c>
    </row>
    <row r="25" spans="2:9" ht="15" customHeight="1" x14ac:dyDescent="0.2">
      <c r="B25" t="s">
        <v>89</v>
      </c>
      <c r="C25" s="12">
        <v>24</v>
      </c>
      <c r="D25" s="8">
        <v>8.0299999999999994</v>
      </c>
      <c r="E25" s="12">
        <v>20</v>
      </c>
      <c r="F25" s="8">
        <v>9.26</v>
      </c>
      <c r="G25" s="12">
        <v>4</v>
      </c>
      <c r="H25" s="8">
        <v>5.13</v>
      </c>
      <c r="I25" s="12">
        <v>0</v>
      </c>
    </row>
    <row r="26" spans="2:9" ht="15" customHeight="1" x14ac:dyDescent="0.2">
      <c r="B26" t="s">
        <v>83</v>
      </c>
      <c r="C26" s="12">
        <v>21</v>
      </c>
      <c r="D26" s="8">
        <v>7.02</v>
      </c>
      <c r="E26" s="12">
        <v>15</v>
      </c>
      <c r="F26" s="8">
        <v>6.94</v>
      </c>
      <c r="G26" s="12">
        <v>6</v>
      </c>
      <c r="H26" s="8">
        <v>7.69</v>
      </c>
      <c r="I26" s="12">
        <v>0</v>
      </c>
    </row>
    <row r="27" spans="2:9" ht="15" customHeight="1" x14ac:dyDescent="0.2">
      <c r="B27" t="s">
        <v>75</v>
      </c>
      <c r="C27" s="12">
        <v>19</v>
      </c>
      <c r="D27" s="8">
        <v>6.35</v>
      </c>
      <c r="E27" s="12">
        <v>18</v>
      </c>
      <c r="F27" s="8">
        <v>8.33</v>
      </c>
      <c r="G27" s="12">
        <v>1</v>
      </c>
      <c r="H27" s="8">
        <v>1.28</v>
      </c>
      <c r="I27" s="12">
        <v>0</v>
      </c>
    </row>
    <row r="28" spans="2:9" ht="15" customHeight="1" x14ac:dyDescent="0.2">
      <c r="B28" t="s">
        <v>88</v>
      </c>
      <c r="C28" s="12">
        <v>16</v>
      </c>
      <c r="D28" s="8">
        <v>5.35</v>
      </c>
      <c r="E28" s="12">
        <v>15</v>
      </c>
      <c r="F28" s="8">
        <v>6.94</v>
      </c>
      <c r="G28" s="12">
        <v>1</v>
      </c>
      <c r="H28" s="8">
        <v>1.28</v>
      </c>
      <c r="I28" s="12">
        <v>0</v>
      </c>
    </row>
    <row r="29" spans="2:9" ht="15" customHeight="1" x14ac:dyDescent="0.2">
      <c r="B29" t="s">
        <v>111</v>
      </c>
      <c r="C29" s="12">
        <v>12</v>
      </c>
      <c r="D29" s="8">
        <v>4.01</v>
      </c>
      <c r="E29" s="12">
        <v>9</v>
      </c>
      <c r="F29" s="8">
        <v>4.17</v>
      </c>
      <c r="G29" s="12">
        <v>3</v>
      </c>
      <c r="H29" s="8">
        <v>3.85</v>
      </c>
      <c r="I29" s="12">
        <v>0</v>
      </c>
    </row>
    <row r="30" spans="2:9" ht="15" customHeight="1" x14ac:dyDescent="0.2">
      <c r="B30" t="s">
        <v>76</v>
      </c>
      <c r="C30" s="12">
        <v>11</v>
      </c>
      <c r="D30" s="8">
        <v>3.68</v>
      </c>
      <c r="E30" s="12">
        <v>10</v>
      </c>
      <c r="F30" s="8">
        <v>4.63</v>
      </c>
      <c r="G30" s="12">
        <v>1</v>
      </c>
      <c r="H30" s="8">
        <v>1.28</v>
      </c>
      <c r="I30" s="12">
        <v>0</v>
      </c>
    </row>
    <row r="31" spans="2:9" ht="15" customHeight="1" x14ac:dyDescent="0.2">
      <c r="B31" t="s">
        <v>81</v>
      </c>
      <c r="C31" s="12">
        <v>11</v>
      </c>
      <c r="D31" s="8">
        <v>3.68</v>
      </c>
      <c r="E31" s="12">
        <v>11</v>
      </c>
      <c r="F31" s="8">
        <v>5.09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91</v>
      </c>
      <c r="C32" s="12">
        <v>10</v>
      </c>
      <c r="D32" s="8">
        <v>3.34</v>
      </c>
      <c r="E32" s="12">
        <v>9</v>
      </c>
      <c r="F32" s="8">
        <v>4.17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77</v>
      </c>
      <c r="C33" s="12">
        <v>9</v>
      </c>
      <c r="D33" s="8">
        <v>3.01</v>
      </c>
      <c r="E33" s="12">
        <v>6</v>
      </c>
      <c r="F33" s="8">
        <v>2.78</v>
      </c>
      <c r="G33" s="12">
        <v>3</v>
      </c>
      <c r="H33" s="8">
        <v>3.85</v>
      </c>
      <c r="I33" s="12">
        <v>0</v>
      </c>
    </row>
    <row r="34" spans="2:9" ht="15" customHeight="1" x14ac:dyDescent="0.2">
      <c r="B34" t="s">
        <v>115</v>
      </c>
      <c r="C34" s="12">
        <v>9</v>
      </c>
      <c r="D34" s="8">
        <v>3.01</v>
      </c>
      <c r="E34" s="12">
        <v>6</v>
      </c>
      <c r="F34" s="8">
        <v>2.78</v>
      </c>
      <c r="G34" s="12">
        <v>3</v>
      </c>
      <c r="H34" s="8">
        <v>3.85</v>
      </c>
      <c r="I34" s="12">
        <v>0</v>
      </c>
    </row>
    <row r="35" spans="2:9" ht="15" customHeight="1" x14ac:dyDescent="0.2">
      <c r="B35" t="s">
        <v>82</v>
      </c>
      <c r="C35" s="12">
        <v>9</v>
      </c>
      <c r="D35" s="8">
        <v>3.01</v>
      </c>
      <c r="E35" s="12">
        <v>8</v>
      </c>
      <c r="F35" s="8">
        <v>3.7</v>
      </c>
      <c r="G35" s="12">
        <v>1</v>
      </c>
      <c r="H35" s="8">
        <v>1.28</v>
      </c>
      <c r="I35" s="12">
        <v>0</v>
      </c>
    </row>
    <row r="36" spans="2:9" ht="15" customHeight="1" x14ac:dyDescent="0.2">
      <c r="B36" t="s">
        <v>87</v>
      </c>
      <c r="C36" s="12">
        <v>8</v>
      </c>
      <c r="D36" s="8">
        <v>2.68</v>
      </c>
      <c r="E36" s="12">
        <v>4</v>
      </c>
      <c r="F36" s="8">
        <v>1.85</v>
      </c>
      <c r="G36" s="12">
        <v>4</v>
      </c>
      <c r="H36" s="8">
        <v>5.13</v>
      </c>
      <c r="I36" s="12">
        <v>0</v>
      </c>
    </row>
    <row r="37" spans="2:9" ht="15" customHeight="1" x14ac:dyDescent="0.2">
      <c r="B37" t="s">
        <v>92</v>
      </c>
      <c r="C37" s="12">
        <v>8</v>
      </c>
      <c r="D37" s="8">
        <v>2.68</v>
      </c>
      <c r="E37" s="12">
        <v>8</v>
      </c>
      <c r="F37" s="8">
        <v>3.7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80</v>
      </c>
      <c r="C38" s="12">
        <v>7</v>
      </c>
      <c r="D38" s="8">
        <v>2.34</v>
      </c>
      <c r="E38" s="12">
        <v>6</v>
      </c>
      <c r="F38" s="8">
        <v>2.78</v>
      </c>
      <c r="G38" s="12">
        <v>1</v>
      </c>
      <c r="H38" s="8">
        <v>1.28</v>
      </c>
      <c r="I38" s="12">
        <v>0</v>
      </c>
    </row>
    <row r="39" spans="2:9" ht="15" customHeight="1" x14ac:dyDescent="0.2">
      <c r="B39" t="s">
        <v>104</v>
      </c>
      <c r="C39" s="12">
        <v>7</v>
      </c>
      <c r="D39" s="8">
        <v>2.34</v>
      </c>
      <c r="E39" s="12">
        <v>7</v>
      </c>
      <c r="F39" s="8">
        <v>3.24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113</v>
      </c>
      <c r="C40" s="12">
        <v>6</v>
      </c>
      <c r="D40" s="8">
        <v>2.0099999999999998</v>
      </c>
      <c r="E40" s="12">
        <v>2</v>
      </c>
      <c r="F40" s="8">
        <v>0.93</v>
      </c>
      <c r="G40" s="12">
        <v>4</v>
      </c>
      <c r="H40" s="8">
        <v>5.13</v>
      </c>
      <c r="I40" s="12">
        <v>0</v>
      </c>
    </row>
    <row r="41" spans="2:9" ht="15" customHeight="1" x14ac:dyDescent="0.2">
      <c r="B41" t="s">
        <v>100</v>
      </c>
      <c r="C41" s="12">
        <v>6</v>
      </c>
      <c r="D41" s="8">
        <v>2.0099999999999998</v>
      </c>
      <c r="E41" s="12">
        <v>2</v>
      </c>
      <c r="F41" s="8">
        <v>0.93</v>
      </c>
      <c r="G41" s="12">
        <v>4</v>
      </c>
      <c r="H41" s="8">
        <v>5.13</v>
      </c>
      <c r="I41" s="12">
        <v>0</v>
      </c>
    </row>
    <row r="42" spans="2:9" ht="15" customHeight="1" x14ac:dyDescent="0.2">
      <c r="B42" t="s">
        <v>117</v>
      </c>
      <c r="C42" s="12">
        <v>5</v>
      </c>
      <c r="D42" s="8">
        <v>1.67</v>
      </c>
      <c r="E42" s="12">
        <v>5</v>
      </c>
      <c r="F42" s="8">
        <v>2.31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112</v>
      </c>
      <c r="C43" s="12">
        <v>4</v>
      </c>
      <c r="D43" s="8">
        <v>1.34</v>
      </c>
      <c r="E43" s="12">
        <v>1</v>
      </c>
      <c r="F43" s="8">
        <v>0.46</v>
      </c>
      <c r="G43" s="12">
        <v>3</v>
      </c>
      <c r="H43" s="8">
        <v>3.85</v>
      </c>
      <c r="I43" s="12">
        <v>0</v>
      </c>
    </row>
    <row r="44" spans="2:9" ht="15" customHeight="1" x14ac:dyDescent="0.2">
      <c r="B44" t="s">
        <v>85</v>
      </c>
      <c r="C44" s="12">
        <v>4</v>
      </c>
      <c r="D44" s="8">
        <v>1.34</v>
      </c>
      <c r="E44" s="12">
        <v>4</v>
      </c>
      <c r="F44" s="8">
        <v>1.85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86</v>
      </c>
      <c r="C45" s="12">
        <v>4</v>
      </c>
      <c r="D45" s="8">
        <v>1.34</v>
      </c>
      <c r="E45" s="12">
        <v>4</v>
      </c>
      <c r="F45" s="8">
        <v>1.85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217</v>
      </c>
      <c r="C48" s="10" t="s">
        <v>67</v>
      </c>
      <c r="D48" s="10" t="s">
        <v>68</v>
      </c>
      <c r="E48" s="10" t="s">
        <v>69</v>
      </c>
      <c r="F48" s="10" t="s">
        <v>70</v>
      </c>
      <c r="G48" s="10" t="s">
        <v>71</v>
      </c>
      <c r="H48" s="10" t="s">
        <v>72</v>
      </c>
      <c r="I48" s="10" t="s">
        <v>73</v>
      </c>
    </row>
    <row r="49" spans="2:9" ht="15" customHeight="1" x14ac:dyDescent="0.2">
      <c r="B49" t="s">
        <v>122</v>
      </c>
      <c r="C49" s="12">
        <v>23</v>
      </c>
      <c r="D49" s="8">
        <v>7.69</v>
      </c>
      <c r="E49" s="12">
        <v>10</v>
      </c>
      <c r="F49" s="8">
        <v>4.63</v>
      </c>
      <c r="G49" s="12">
        <v>13</v>
      </c>
      <c r="H49" s="8">
        <v>16.670000000000002</v>
      </c>
      <c r="I49" s="12">
        <v>0</v>
      </c>
    </row>
    <row r="50" spans="2:9" ht="15" customHeight="1" x14ac:dyDescent="0.2">
      <c r="B50" t="s">
        <v>138</v>
      </c>
      <c r="C50" s="12">
        <v>11</v>
      </c>
      <c r="D50" s="8">
        <v>3.68</v>
      </c>
      <c r="E50" s="12">
        <v>10</v>
      </c>
      <c r="F50" s="8">
        <v>4.63</v>
      </c>
      <c r="G50" s="12">
        <v>1</v>
      </c>
      <c r="H50" s="8">
        <v>1.28</v>
      </c>
      <c r="I50" s="12">
        <v>0</v>
      </c>
    </row>
    <row r="51" spans="2:9" ht="15" customHeight="1" x14ac:dyDescent="0.2">
      <c r="B51" t="s">
        <v>197</v>
      </c>
      <c r="C51" s="12">
        <v>10</v>
      </c>
      <c r="D51" s="8">
        <v>3.34</v>
      </c>
      <c r="E51" s="12">
        <v>7</v>
      </c>
      <c r="F51" s="8">
        <v>3.24</v>
      </c>
      <c r="G51" s="12">
        <v>3</v>
      </c>
      <c r="H51" s="8">
        <v>3.85</v>
      </c>
      <c r="I51" s="12">
        <v>0</v>
      </c>
    </row>
    <row r="52" spans="2:9" ht="15" customHeight="1" x14ac:dyDescent="0.2">
      <c r="B52" t="s">
        <v>169</v>
      </c>
      <c r="C52" s="12">
        <v>9</v>
      </c>
      <c r="D52" s="8">
        <v>3.01</v>
      </c>
      <c r="E52" s="12">
        <v>8</v>
      </c>
      <c r="F52" s="8">
        <v>3.7</v>
      </c>
      <c r="G52" s="12">
        <v>1</v>
      </c>
      <c r="H52" s="8">
        <v>1.28</v>
      </c>
      <c r="I52" s="12">
        <v>0</v>
      </c>
    </row>
    <row r="53" spans="2:9" ht="15" customHeight="1" x14ac:dyDescent="0.2">
      <c r="B53" t="s">
        <v>124</v>
      </c>
      <c r="C53" s="12">
        <v>8</v>
      </c>
      <c r="D53" s="8">
        <v>2.68</v>
      </c>
      <c r="E53" s="12">
        <v>7</v>
      </c>
      <c r="F53" s="8">
        <v>3.24</v>
      </c>
      <c r="G53" s="12">
        <v>1</v>
      </c>
      <c r="H53" s="8">
        <v>1.28</v>
      </c>
      <c r="I53" s="12">
        <v>0</v>
      </c>
    </row>
    <row r="54" spans="2:9" ht="15" customHeight="1" x14ac:dyDescent="0.2">
      <c r="B54" t="s">
        <v>184</v>
      </c>
      <c r="C54" s="12">
        <v>8</v>
      </c>
      <c r="D54" s="8">
        <v>2.68</v>
      </c>
      <c r="E54" s="12">
        <v>5</v>
      </c>
      <c r="F54" s="8">
        <v>2.31</v>
      </c>
      <c r="G54" s="12">
        <v>3</v>
      </c>
      <c r="H54" s="8">
        <v>3.85</v>
      </c>
      <c r="I54" s="12">
        <v>0</v>
      </c>
    </row>
    <row r="55" spans="2:9" ht="15" customHeight="1" x14ac:dyDescent="0.2">
      <c r="B55" t="s">
        <v>127</v>
      </c>
      <c r="C55" s="12">
        <v>8</v>
      </c>
      <c r="D55" s="8">
        <v>2.68</v>
      </c>
      <c r="E55" s="12">
        <v>7</v>
      </c>
      <c r="F55" s="8">
        <v>3.24</v>
      </c>
      <c r="G55" s="12">
        <v>1</v>
      </c>
      <c r="H55" s="8">
        <v>1.28</v>
      </c>
      <c r="I55" s="12">
        <v>0</v>
      </c>
    </row>
    <row r="56" spans="2:9" ht="15" customHeight="1" x14ac:dyDescent="0.2">
      <c r="B56" t="s">
        <v>137</v>
      </c>
      <c r="C56" s="12">
        <v>8</v>
      </c>
      <c r="D56" s="8">
        <v>2.68</v>
      </c>
      <c r="E56" s="12">
        <v>8</v>
      </c>
      <c r="F56" s="8">
        <v>3.7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190</v>
      </c>
      <c r="C57" s="12">
        <v>7</v>
      </c>
      <c r="D57" s="8">
        <v>2.34</v>
      </c>
      <c r="E57" s="12">
        <v>6</v>
      </c>
      <c r="F57" s="8">
        <v>2.78</v>
      </c>
      <c r="G57" s="12">
        <v>1</v>
      </c>
      <c r="H57" s="8">
        <v>1.28</v>
      </c>
      <c r="I57" s="12">
        <v>0</v>
      </c>
    </row>
    <row r="58" spans="2:9" ht="15" customHeight="1" x14ac:dyDescent="0.2">
      <c r="B58" t="s">
        <v>139</v>
      </c>
      <c r="C58" s="12">
        <v>7</v>
      </c>
      <c r="D58" s="8">
        <v>2.34</v>
      </c>
      <c r="E58" s="12">
        <v>7</v>
      </c>
      <c r="F58" s="8">
        <v>3.24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165</v>
      </c>
      <c r="C59" s="12">
        <v>7</v>
      </c>
      <c r="D59" s="8">
        <v>2.34</v>
      </c>
      <c r="E59" s="12">
        <v>7</v>
      </c>
      <c r="F59" s="8">
        <v>3.24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151</v>
      </c>
      <c r="C60" s="12">
        <v>6</v>
      </c>
      <c r="D60" s="8">
        <v>2.0099999999999998</v>
      </c>
      <c r="E60" s="12">
        <v>6</v>
      </c>
      <c r="F60" s="8">
        <v>2.78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128</v>
      </c>
      <c r="C61" s="12">
        <v>6</v>
      </c>
      <c r="D61" s="8">
        <v>2.0099999999999998</v>
      </c>
      <c r="E61" s="12">
        <v>4</v>
      </c>
      <c r="F61" s="8">
        <v>1.85</v>
      </c>
      <c r="G61" s="12">
        <v>2</v>
      </c>
      <c r="H61" s="8">
        <v>2.56</v>
      </c>
      <c r="I61" s="12">
        <v>0</v>
      </c>
    </row>
    <row r="62" spans="2:9" ht="15" customHeight="1" x14ac:dyDescent="0.2">
      <c r="B62" t="s">
        <v>172</v>
      </c>
      <c r="C62" s="12">
        <v>6</v>
      </c>
      <c r="D62" s="8">
        <v>2.0099999999999998</v>
      </c>
      <c r="E62" s="12">
        <v>3</v>
      </c>
      <c r="F62" s="8">
        <v>1.39</v>
      </c>
      <c r="G62" s="12">
        <v>3</v>
      </c>
      <c r="H62" s="8">
        <v>3.85</v>
      </c>
      <c r="I62" s="12">
        <v>0</v>
      </c>
    </row>
    <row r="63" spans="2:9" ht="15" customHeight="1" x14ac:dyDescent="0.2">
      <c r="B63" t="s">
        <v>136</v>
      </c>
      <c r="C63" s="12">
        <v>6</v>
      </c>
      <c r="D63" s="8">
        <v>2.0099999999999998</v>
      </c>
      <c r="E63" s="12">
        <v>6</v>
      </c>
      <c r="F63" s="8">
        <v>2.78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141</v>
      </c>
      <c r="C64" s="12">
        <v>6</v>
      </c>
      <c r="D64" s="8">
        <v>2.0099999999999998</v>
      </c>
      <c r="E64" s="12">
        <v>6</v>
      </c>
      <c r="F64" s="8">
        <v>2.78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164</v>
      </c>
      <c r="C65" s="12">
        <v>5</v>
      </c>
      <c r="D65" s="8">
        <v>1.67</v>
      </c>
      <c r="E65" s="12">
        <v>3</v>
      </c>
      <c r="F65" s="8">
        <v>1.39</v>
      </c>
      <c r="G65" s="12">
        <v>2</v>
      </c>
      <c r="H65" s="8">
        <v>2.56</v>
      </c>
      <c r="I65" s="12">
        <v>0</v>
      </c>
    </row>
    <row r="66" spans="2:9" ht="15" customHeight="1" x14ac:dyDescent="0.2">
      <c r="B66" t="s">
        <v>196</v>
      </c>
      <c r="C66" s="12">
        <v>5</v>
      </c>
      <c r="D66" s="8">
        <v>1.67</v>
      </c>
      <c r="E66" s="12">
        <v>5</v>
      </c>
      <c r="F66" s="8">
        <v>2.31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207</v>
      </c>
      <c r="C67" s="12">
        <v>4</v>
      </c>
      <c r="D67" s="8">
        <v>1.34</v>
      </c>
      <c r="E67" s="12">
        <v>1</v>
      </c>
      <c r="F67" s="8">
        <v>0.46</v>
      </c>
      <c r="G67" s="12">
        <v>3</v>
      </c>
      <c r="H67" s="8">
        <v>3.85</v>
      </c>
      <c r="I67" s="12">
        <v>0</v>
      </c>
    </row>
    <row r="68" spans="2:9" ht="15" customHeight="1" x14ac:dyDescent="0.2">
      <c r="B68" t="s">
        <v>129</v>
      </c>
      <c r="C68" s="12">
        <v>4</v>
      </c>
      <c r="D68" s="8">
        <v>1.34</v>
      </c>
      <c r="E68" s="12">
        <v>4</v>
      </c>
      <c r="F68" s="8">
        <v>1.85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144</v>
      </c>
      <c r="C69" s="12">
        <v>4</v>
      </c>
      <c r="D69" s="8">
        <v>1.34</v>
      </c>
      <c r="E69" s="12">
        <v>2</v>
      </c>
      <c r="F69" s="8">
        <v>0.93</v>
      </c>
      <c r="G69" s="12">
        <v>2</v>
      </c>
      <c r="H69" s="8">
        <v>2.56</v>
      </c>
      <c r="I69" s="12">
        <v>0</v>
      </c>
    </row>
    <row r="71" spans="2:9" ht="15" customHeight="1" x14ac:dyDescent="0.2">
      <c r="B71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1E99F-894B-4F92-B2BB-77D57ABB41C0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262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70</v>
      </c>
      <c r="D6" s="8">
        <v>13.73</v>
      </c>
      <c r="E6" s="12">
        <v>27</v>
      </c>
      <c r="F6" s="8">
        <v>9.18</v>
      </c>
      <c r="G6" s="12">
        <v>43</v>
      </c>
      <c r="H6" s="8">
        <v>20.87</v>
      </c>
      <c r="I6" s="12">
        <v>0</v>
      </c>
    </row>
    <row r="7" spans="2:9" ht="15" customHeight="1" x14ac:dyDescent="0.2">
      <c r="B7" t="s">
        <v>53</v>
      </c>
      <c r="C7" s="12">
        <v>68</v>
      </c>
      <c r="D7" s="8">
        <v>13.33</v>
      </c>
      <c r="E7" s="12">
        <v>35</v>
      </c>
      <c r="F7" s="8">
        <v>11.9</v>
      </c>
      <c r="G7" s="12">
        <v>33</v>
      </c>
      <c r="H7" s="8">
        <v>16.02</v>
      </c>
      <c r="I7" s="12">
        <v>0</v>
      </c>
    </row>
    <row r="8" spans="2:9" ht="15" customHeight="1" x14ac:dyDescent="0.2">
      <c r="B8" t="s">
        <v>54</v>
      </c>
      <c r="C8" s="12">
        <v>1</v>
      </c>
      <c r="D8" s="8">
        <v>0.2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4</v>
      </c>
      <c r="D9" s="8">
        <v>0.78</v>
      </c>
      <c r="E9" s="12">
        <v>0</v>
      </c>
      <c r="F9" s="8">
        <v>0</v>
      </c>
      <c r="G9" s="12">
        <v>4</v>
      </c>
      <c r="H9" s="8">
        <v>1.94</v>
      </c>
      <c r="I9" s="12">
        <v>0</v>
      </c>
    </row>
    <row r="10" spans="2:9" ht="15" customHeight="1" x14ac:dyDescent="0.2">
      <c r="B10" t="s">
        <v>56</v>
      </c>
      <c r="C10" s="12">
        <v>7</v>
      </c>
      <c r="D10" s="8">
        <v>1.37</v>
      </c>
      <c r="E10" s="12">
        <v>0</v>
      </c>
      <c r="F10" s="8">
        <v>0</v>
      </c>
      <c r="G10" s="12">
        <v>7</v>
      </c>
      <c r="H10" s="8">
        <v>3.4</v>
      </c>
      <c r="I10" s="12">
        <v>0</v>
      </c>
    </row>
    <row r="11" spans="2:9" ht="15" customHeight="1" x14ac:dyDescent="0.2">
      <c r="B11" t="s">
        <v>57</v>
      </c>
      <c r="C11" s="12">
        <v>119</v>
      </c>
      <c r="D11" s="8">
        <v>23.33</v>
      </c>
      <c r="E11" s="12">
        <v>66</v>
      </c>
      <c r="F11" s="8">
        <v>22.45</v>
      </c>
      <c r="G11" s="12">
        <v>53</v>
      </c>
      <c r="H11" s="8">
        <v>25.73</v>
      </c>
      <c r="I11" s="12">
        <v>0</v>
      </c>
    </row>
    <row r="12" spans="2:9" ht="15" customHeight="1" x14ac:dyDescent="0.2">
      <c r="B12" t="s">
        <v>58</v>
      </c>
      <c r="C12" s="12">
        <v>2</v>
      </c>
      <c r="D12" s="8">
        <v>0.39</v>
      </c>
      <c r="E12" s="12">
        <v>0</v>
      </c>
      <c r="F12" s="8">
        <v>0</v>
      </c>
      <c r="G12" s="12">
        <v>2</v>
      </c>
      <c r="H12" s="8">
        <v>0.97</v>
      </c>
      <c r="I12" s="12">
        <v>0</v>
      </c>
    </row>
    <row r="13" spans="2:9" ht="15" customHeight="1" x14ac:dyDescent="0.2">
      <c r="B13" t="s">
        <v>59</v>
      </c>
      <c r="C13" s="12">
        <v>39</v>
      </c>
      <c r="D13" s="8">
        <v>7.65</v>
      </c>
      <c r="E13" s="12">
        <v>21</v>
      </c>
      <c r="F13" s="8">
        <v>7.14</v>
      </c>
      <c r="G13" s="12">
        <v>18</v>
      </c>
      <c r="H13" s="8">
        <v>8.74</v>
      </c>
      <c r="I13" s="12">
        <v>0</v>
      </c>
    </row>
    <row r="14" spans="2:9" ht="15" customHeight="1" x14ac:dyDescent="0.2">
      <c r="B14" t="s">
        <v>60</v>
      </c>
      <c r="C14" s="12">
        <v>15</v>
      </c>
      <c r="D14" s="8">
        <v>2.94</v>
      </c>
      <c r="E14" s="12">
        <v>9</v>
      </c>
      <c r="F14" s="8">
        <v>3.06</v>
      </c>
      <c r="G14" s="12">
        <v>6</v>
      </c>
      <c r="H14" s="8">
        <v>2.91</v>
      </c>
      <c r="I14" s="12">
        <v>0</v>
      </c>
    </row>
    <row r="15" spans="2:9" ht="15" customHeight="1" x14ac:dyDescent="0.2">
      <c r="B15" t="s">
        <v>61</v>
      </c>
      <c r="C15" s="12">
        <v>44</v>
      </c>
      <c r="D15" s="8">
        <v>8.6300000000000008</v>
      </c>
      <c r="E15" s="12">
        <v>33</v>
      </c>
      <c r="F15" s="8">
        <v>11.22</v>
      </c>
      <c r="G15" s="12">
        <v>11</v>
      </c>
      <c r="H15" s="8">
        <v>5.34</v>
      </c>
      <c r="I15" s="12">
        <v>0</v>
      </c>
    </row>
    <row r="16" spans="2:9" ht="15" customHeight="1" x14ac:dyDescent="0.2">
      <c r="B16" t="s">
        <v>62</v>
      </c>
      <c r="C16" s="12">
        <v>65</v>
      </c>
      <c r="D16" s="8">
        <v>12.75</v>
      </c>
      <c r="E16" s="12">
        <v>56</v>
      </c>
      <c r="F16" s="8">
        <v>19.05</v>
      </c>
      <c r="G16" s="12">
        <v>8</v>
      </c>
      <c r="H16" s="8">
        <v>3.88</v>
      </c>
      <c r="I16" s="12">
        <v>0</v>
      </c>
    </row>
    <row r="17" spans="2:9" ht="15" customHeight="1" x14ac:dyDescent="0.2">
      <c r="B17" t="s">
        <v>63</v>
      </c>
      <c r="C17" s="12">
        <v>35</v>
      </c>
      <c r="D17" s="8">
        <v>6.86</v>
      </c>
      <c r="E17" s="12">
        <v>21</v>
      </c>
      <c r="F17" s="8">
        <v>7.14</v>
      </c>
      <c r="G17" s="12">
        <v>8</v>
      </c>
      <c r="H17" s="8">
        <v>3.88</v>
      </c>
      <c r="I17" s="12">
        <v>0</v>
      </c>
    </row>
    <row r="18" spans="2:9" ht="15" customHeight="1" x14ac:dyDescent="0.2">
      <c r="B18" t="s">
        <v>64</v>
      </c>
      <c r="C18" s="12">
        <v>16</v>
      </c>
      <c r="D18" s="8">
        <v>3.14</v>
      </c>
      <c r="E18" s="12">
        <v>14</v>
      </c>
      <c r="F18" s="8">
        <v>4.76</v>
      </c>
      <c r="G18" s="12">
        <v>2</v>
      </c>
      <c r="H18" s="8">
        <v>0.97</v>
      </c>
      <c r="I18" s="12">
        <v>0</v>
      </c>
    </row>
    <row r="19" spans="2:9" ht="15" customHeight="1" x14ac:dyDescent="0.2">
      <c r="B19" t="s">
        <v>65</v>
      </c>
      <c r="C19" s="12">
        <v>25</v>
      </c>
      <c r="D19" s="8">
        <v>4.9000000000000004</v>
      </c>
      <c r="E19" s="12">
        <v>12</v>
      </c>
      <c r="F19" s="8">
        <v>4.08</v>
      </c>
      <c r="G19" s="12">
        <v>11</v>
      </c>
      <c r="H19" s="8">
        <v>5.34</v>
      </c>
      <c r="I19" s="12">
        <v>0</v>
      </c>
    </row>
    <row r="20" spans="2:9" ht="15" customHeight="1" x14ac:dyDescent="0.2">
      <c r="B20" s="9" t="s">
        <v>215</v>
      </c>
      <c r="C20" s="12">
        <f>SUM(LTBL_28443[総数／事業所数])</f>
        <v>510</v>
      </c>
      <c r="E20" s="12">
        <f>SUBTOTAL(109,LTBL_28443[個人／事業所数])</f>
        <v>294</v>
      </c>
      <c r="G20" s="12">
        <f>SUBTOTAL(109,LTBL_28443[法人／事業所数])</f>
        <v>206</v>
      </c>
      <c r="I20" s="12">
        <f>SUBTOTAL(109,LTBL_28443[法人以外の団体／事業所数])</f>
        <v>0</v>
      </c>
    </row>
    <row r="21" spans="2:9" ht="15" customHeight="1" x14ac:dyDescent="0.2">
      <c r="E21" s="11">
        <f>LTBL_28443[[#Totals],[個人／事業所数]]/LTBL_28443[[#Totals],[総数／事業所数]]</f>
        <v>0.57647058823529407</v>
      </c>
      <c r="G21" s="11">
        <f>LTBL_28443[[#Totals],[法人／事業所数]]/LTBL_28443[[#Totals],[総数／事業所数]]</f>
        <v>0.40392156862745099</v>
      </c>
      <c r="I21" s="11">
        <f>LTBL_28443[[#Totals],[法人以外の団体／事業所数]]/LTBL_28443[[#Totals],[総数／事業所数]]</f>
        <v>0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57</v>
      </c>
      <c r="D24" s="8">
        <v>11.18</v>
      </c>
      <c r="E24" s="12">
        <v>51</v>
      </c>
      <c r="F24" s="8">
        <v>17.350000000000001</v>
      </c>
      <c r="G24" s="12">
        <v>6</v>
      </c>
      <c r="H24" s="8">
        <v>2.91</v>
      </c>
      <c r="I24" s="12">
        <v>0</v>
      </c>
    </row>
    <row r="25" spans="2:9" ht="15" customHeight="1" x14ac:dyDescent="0.2">
      <c r="B25" t="s">
        <v>74</v>
      </c>
      <c r="C25" s="12">
        <v>42</v>
      </c>
      <c r="D25" s="8">
        <v>8.24</v>
      </c>
      <c r="E25" s="12">
        <v>13</v>
      </c>
      <c r="F25" s="8">
        <v>4.42</v>
      </c>
      <c r="G25" s="12">
        <v>29</v>
      </c>
      <c r="H25" s="8">
        <v>14.08</v>
      </c>
      <c r="I25" s="12">
        <v>0</v>
      </c>
    </row>
    <row r="26" spans="2:9" ht="15" customHeight="1" x14ac:dyDescent="0.2">
      <c r="B26" t="s">
        <v>83</v>
      </c>
      <c r="C26" s="12">
        <v>40</v>
      </c>
      <c r="D26" s="8">
        <v>7.84</v>
      </c>
      <c r="E26" s="12">
        <v>17</v>
      </c>
      <c r="F26" s="8">
        <v>5.78</v>
      </c>
      <c r="G26" s="12">
        <v>23</v>
      </c>
      <c r="H26" s="8">
        <v>11.17</v>
      </c>
      <c r="I26" s="12">
        <v>0</v>
      </c>
    </row>
    <row r="27" spans="2:9" ht="15" customHeight="1" x14ac:dyDescent="0.2">
      <c r="B27" t="s">
        <v>88</v>
      </c>
      <c r="C27" s="12">
        <v>36</v>
      </c>
      <c r="D27" s="8">
        <v>7.06</v>
      </c>
      <c r="E27" s="12">
        <v>31</v>
      </c>
      <c r="F27" s="8">
        <v>10.54</v>
      </c>
      <c r="G27" s="12">
        <v>5</v>
      </c>
      <c r="H27" s="8">
        <v>2.4300000000000002</v>
      </c>
      <c r="I27" s="12">
        <v>0</v>
      </c>
    </row>
    <row r="28" spans="2:9" ht="15" customHeight="1" x14ac:dyDescent="0.2">
      <c r="B28" t="s">
        <v>91</v>
      </c>
      <c r="C28" s="12">
        <v>35</v>
      </c>
      <c r="D28" s="8">
        <v>6.86</v>
      </c>
      <c r="E28" s="12">
        <v>21</v>
      </c>
      <c r="F28" s="8">
        <v>7.14</v>
      </c>
      <c r="G28" s="12">
        <v>8</v>
      </c>
      <c r="H28" s="8">
        <v>3.88</v>
      </c>
      <c r="I28" s="12">
        <v>0</v>
      </c>
    </row>
    <row r="29" spans="2:9" ht="15" customHeight="1" x14ac:dyDescent="0.2">
      <c r="B29" t="s">
        <v>85</v>
      </c>
      <c r="C29" s="12">
        <v>30</v>
      </c>
      <c r="D29" s="8">
        <v>5.88</v>
      </c>
      <c r="E29" s="12">
        <v>18</v>
      </c>
      <c r="F29" s="8">
        <v>6.12</v>
      </c>
      <c r="G29" s="12">
        <v>12</v>
      </c>
      <c r="H29" s="8">
        <v>5.83</v>
      </c>
      <c r="I29" s="12">
        <v>0</v>
      </c>
    </row>
    <row r="30" spans="2:9" ht="15" customHeight="1" x14ac:dyDescent="0.2">
      <c r="B30" t="s">
        <v>82</v>
      </c>
      <c r="C30" s="12">
        <v>17</v>
      </c>
      <c r="D30" s="8">
        <v>3.33</v>
      </c>
      <c r="E30" s="12">
        <v>15</v>
      </c>
      <c r="F30" s="8">
        <v>5.0999999999999996</v>
      </c>
      <c r="G30" s="12">
        <v>2</v>
      </c>
      <c r="H30" s="8">
        <v>0.97</v>
      </c>
      <c r="I30" s="12">
        <v>0</v>
      </c>
    </row>
    <row r="31" spans="2:9" ht="15" customHeight="1" x14ac:dyDescent="0.2">
      <c r="B31" t="s">
        <v>75</v>
      </c>
      <c r="C31" s="12">
        <v>15</v>
      </c>
      <c r="D31" s="8">
        <v>2.94</v>
      </c>
      <c r="E31" s="12">
        <v>11</v>
      </c>
      <c r="F31" s="8">
        <v>3.74</v>
      </c>
      <c r="G31" s="12">
        <v>4</v>
      </c>
      <c r="H31" s="8">
        <v>1.94</v>
      </c>
      <c r="I31" s="12">
        <v>0</v>
      </c>
    </row>
    <row r="32" spans="2:9" ht="15" customHeight="1" x14ac:dyDescent="0.2">
      <c r="B32" t="s">
        <v>77</v>
      </c>
      <c r="C32" s="12">
        <v>15</v>
      </c>
      <c r="D32" s="8">
        <v>2.94</v>
      </c>
      <c r="E32" s="12">
        <v>8</v>
      </c>
      <c r="F32" s="8">
        <v>2.72</v>
      </c>
      <c r="G32" s="12">
        <v>7</v>
      </c>
      <c r="H32" s="8">
        <v>3.4</v>
      </c>
      <c r="I32" s="12">
        <v>0</v>
      </c>
    </row>
    <row r="33" spans="2:9" ht="15" customHeight="1" x14ac:dyDescent="0.2">
      <c r="B33" t="s">
        <v>81</v>
      </c>
      <c r="C33" s="12">
        <v>15</v>
      </c>
      <c r="D33" s="8">
        <v>2.94</v>
      </c>
      <c r="E33" s="12">
        <v>13</v>
      </c>
      <c r="F33" s="8">
        <v>4.42</v>
      </c>
      <c r="G33" s="12">
        <v>2</v>
      </c>
      <c r="H33" s="8">
        <v>0.97</v>
      </c>
      <c r="I33" s="12">
        <v>0</v>
      </c>
    </row>
    <row r="34" spans="2:9" ht="15" customHeight="1" x14ac:dyDescent="0.2">
      <c r="B34" t="s">
        <v>92</v>
      </c>
      <c r="C34" s="12">
        <v>14</v>
      </c>
      <c r="D34" s="8">
        <v>2.75</v>
      </c>
      <c r="E34" s="12">
        <v>14</v>
      </c>
      <c r="F34" s="8">
        <v>4.76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76</v>
      </c>
      <c r="C35" s="12">
        <v>13</v>
      </c>
      <c r="D35" s="8">
        <v>2.5499999999999998</v>
      </c>
      <c r="E35" s="12">
        <v>3</v>
      </c>
      <c r="F35" s="8">
        <v>1.02</v>
      </c>
      <c r="G35" s="12">
        <v>10</v>
      </c>
      <c r="H35" s="8">
        <v>4.8499999999999996</v>
      </c>
      <c r="I35" s="12">
        <v>0</v>
      </c>
    </row>
    <row r="36" spans="2:9" ht="15" customHeight="1" x14ac:dyDescent="0.2">
      <c r="B36" t="s">
        <v>80</v>
      </c>
      <c r="C36" s="12">
        <v>11</v>
      </c>
      <c r="D36" s="8">
        <v>2.16</v>
      </c>
      <c r="E36" s="12">
        <v>8</v>
      </c>
      <c r="F36" s="8">
        <v>2.72</v>
      </c>
      <c r="G36" s="12">
        <v>3</v>
      </c>
      <c r="H36" s="8">
        <v>1.46</v>
      </c>
      <c r="I36" s="12">
        <v>0</v>
      </c>
    </row>
    <row r="37" spans="2:9" ht="15" customHeight="1" x14ac:dyDescent="0.2">
      <c r="B37" t="s">
        <v>101</v>
      </c>
      <c r="C37" s="12">
        <v>11</v>
      </c>
      <c r="D37" s="8">
        <v>2.16</v>
      </c>
      <c r="E37" s="12">
        <v>9</v>
      </c>
      <c r="F37" s="8">
        <v>3.06</v>
      </c>
      <c r="G37" s="12">
        <v>2</v>
      </c>
      <c r="H37" s="8">
        <v>0.97</v>
      </c>
      <c r="I37" s="12">
        <v>0</v>
      </c>
    </row>
    <row r="38" spans="2:9" ht="15" customHeight="1" x14ac:dyDescent="0.2">
      <c r="B38" t="s">
        <v>111</v>
      </c>
      <c r="C38" s="12">
        <v>9</v>
      </c>
      <c r="D38" s="8">
        <v>1.76</v>
      </c>
      <c r="E38" s="12">
        <v>6</v>
      </c>
      <c r="F38" s="8">
        <v>2.04</v>
      </c>
      <c r="G38" s="12">
        <v>3</v>
      </c>
      <c r="H38" s="8">
        <v>1.46</v>
      </c>
      <c r="I38" s="12">
        <v>0</v>
      </c>
    </row>
    <row r="39" spans="2:9" ht="15" customHeight="1" x14ac:dyDescent="0.2">
      <c r="B39" t="s">
        <v>87</v>
      </c>
      <c r="C39" s="12">
        <v>9</v>
      </c>
      <c r="D39" s="8">
        <v>1.76</v>
      </c>
      <c r="E39" s="12">
        <v>4</v>
      </c>
      <c r="F39" s="8">
        <v>1.36</v>
      </c>
      <c r="G39" s="12">
        <v>5</v>
      </c>
      <c r="H39" s="8">
        <v>2.4300000000000002</v>
      </c>
      <c r="I39" s="12">
        <v>0</v>
      </c>
    </row>
    <row r="40" spans="2:9" ht="15" customHeight="1" x14ac:dyDescent="0.2">
      <c r="B40" t="s">
        <v>104</v>
      </c>
      <c r="C40" s="12">
        <v>8</v>
      </c>
      <c r="D40" s="8">
        <v>1.57</v>
      </c>
      <c r="E40" s="12">
        <v>7</v>
      </c>
      <c r="F40" s="8">
        <v>2.38</v>
      </c>
      <c r="G40" s="12">
        <v>1</v>
      </c>
      <c r="H40" s="8">
        <v>0.49</v>
      </c>
      <c r="I40" s="12">
        <v>0</v>
      </c>
    </row>
    <row r="41" spans="2:9" ht="15" customHeight="1" x14ac:dyDescent="0.2">
      <c r="B41" t="s">
        <v>78</v>
      </c>
      <c r="C41" s="12">
        <v>7</v>
      </c>
      <c r="D41" s="8">
        <v>1.37</v>
      </c>
      <c r="E41" s="12">
        <v>0</v>
      </c>
      <c r="F41" s="8">
        <v>0</v>
      </c>
      <c r="G41" s="12">
        <v>7</v>
      </c>
      <c r="H41" s="8">
        <v>3.4</v>
      </c>
      <c r="I41" s="12">
        <v>0</v>
      </c>
    </row>
    <row r="42" spans="2:9" ht="15" customHeight="1" x14ac:dyDescent="0.2">
      <c r="B42" t="s">
        <v>94</v>
      </c>
      <c r="C42" s="12">
        <v>7</v>
      </c>
      <c r="D42" s="8">
        <v>1.37</v>
      </c>
      <c r="E42" s="12">
        <v>1</v>
      </c>
      <c r="F42" s="8">
        <v>0.34</v>
      </c>
      <c r="G42" s="12">
        <v>6</v>
      </c>
      <c r="H42" s="8">
        <v>2.91</v>
      </c>
      <c r="I42" s="12">
        <v>0</v>
      </c>
    </row>
    <row r="43" spans="2:9" ht="15" customHeight="1" x14ac:dyDescent="0.2">
      <c r="B43" t="s">
        <v>115</v>
      </c>
      <c r="C43" s="12">
        <v>6</v>
      </c>
      <c r="D43" s="8">
        <v>1.18</v>
      </c>
      <c r="E43" s="12">
        <v>3</v>
      </c>
      <c r="F43" s="8">
        <v>1.02</v>
      </c>
      <c r="G43" s="12">
        <v>3</v>
      </c>
      <c r="H43" s="8">
        <v>1.46</v>
      </c>
      <c r="I43" s="12">
        <v>0</v>
      </c>
    </row>
    <row r="44" spans="2:9" ht="15" customHeight="1" x14ac:dyDescent="0.2">
      <c r="B44" t="s">
        <v>95</v>
      </c>
      <c r="C44" s="12">
        <v>6</v>
      </c>
      <c r="D44" s="8">
        <v>1.18</v>
      </c>
      <c r="E44" s="12">
        <v>2</v>
      </c>
      <c r="F44" s="8">
        <v>0.68</v>
      </c>
      <c r="G44" s="12">
        <v>4</v>
      </c>
      <c r="H44" s="8">
        <v>1.94</v>
      </c>
      <c r="I44" s="12">
        <v>0</v>
      </c>
    </row>
    <row r="45" spans="2:9" ht="15" customHeight="1" x14ac:dyDescent="0.2">
      <c r="B45" t="s">
        <v>79</v>
      </c>
      <c r="C45" s="12">
        <v>6</v>
      </c>
      <c r="D45" s="8">
        <v>1.18</v>
      </c>
      <c r="E45" s="12">
        <v>1</v>
      </c>
      <c r="F45" s="8">
        <v>0.34</v>
      </c>
      <c r="G45" s="12">
        <v>5</v>
      </c>
      <c r="H45" s="8">
        <v>2.4300000000000002</v>
      </c>
      <c r="I45" s="12">
        <v>0</v>
      </c>
    </row>
    <row r="46" spans="2:9" ht="15" customHeight="1" x14ac:dyDescent="0.2">
      <c r="B46" t="s">
        <v>84</v>
      </c>
      <c r="C46" s="12">
        <v>6</v>
      </c>
      <c r="D46" s="8">
        <v>1.18</v>
      </c>
      <c r="E46" s="12">
        <v>2</v>
      </c>
      <c r="F46" s="8">
        <v>0.68</v>
      </c>
      <c r="G46" s="12">
        <v>4</v>
      </c>
      <c r="H46" s="8">
        <v>1.94</v>
      </c>
      <c r="I46" s="12">
        <v>0</v>
      </c>
    </row>
    <row r="47" spans="2:9" ht="15" customHeight="1" x14ac:dyDescent="0.2">
      <c r="B47" t="s">
        <v>86</v>
      </c>
      <c r="C47" s="12">
        <v>6</v>
      </c>
      <c r="D47" s="8">
        <v>1.18</v>
      </c>
      <c r="E47" s="12">
        <v>5</v>
      </c>
      <c r="F47" s="8">
        <v>1.7</v>
      </c>
      <c r="G47" s="12">
        <v>1</v>
      </c>
      <c r="H47" s="8">
        <v>0.49</v>
      </c>
      <c r="I47" s="12">
        <v>0</v>
      </c>
    </row>
    <row r="48" spans="2:9" ht="15" customHeight="1" x14ac:dyDescent="0.2">
      <c r="B48" t="s">
        <v>90</v>
      </c>
      <c r="C48" s="12">
        <v>6</v>
      </c>
      <c r="D48" s="8">
        <v>1.18</v>
      </c>
      <c r="E48" s="12">
        <v>4</v>
      </c>
      <c r="F48" s="8">
        <v>1.36</v>
      </c>
      <c r="G48" s="12">
        <v>2</v>
      </c>
      <c r="H48" s="8">
        <v>0.97</v>
      </c>
      <c r="I48" s="12">
        <v>0</v>
      </c>
    </row>
    <row r="51" spans="2:9" ht="33" customHeight="1" x14ac:dyDescent="0.2">
      <c r="B51" t="s">
        <v>217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2">
      <c r="B52" t="s">
        <v>138</v>
      </c>
      <c r="C52" s="12">
        <v>32</v>
      </c>
      <c r="D52" s="8">
        <v>6.27</v>
      </c>
      <c r="E52" s="12">
        <v>31</v>
      </c>
      <c r="F52" s="8">
        <v>10.54</v>
      </c>
      <c r="G52" s="12">
        <v>1</v>
      </c>
      <c r="H52" s="8">
        <v>0.49</v>
      </c>
      <c r="I52" s="12">
        <v>0</v>
      </c>
    </row>
    <row r="53" spans="2:9" ht="15" customHeight="1" x14ac:dyDescent="0.2">
      <c r="B53" t="s">
        <v>122</v>
      </c>
      <c r="C53" s="12">
        <v>21</v>
      </c>
      <c r="D53" s="8">
        <v>4.12</v>
      </c>
      <c r="E53" s="12">
        <v>7</v>
      </c>
      <c r="F53" s="8">
        <v>2.38</v>
      </c>
      <c r="G53" s="12">
        <v>14</v>
      </c>
      <c r="H53" s="8">
        <v>6.8</v>
      </c>
      <c r="I53" s="12">
        <v>0</v>
      </c>
    </row>
    <row r="54" spans="2:9" ht="15" customHeight="1" x14ac:dyDescent="0.2">
      <c r="B54" t="s">
        <v>140</v>
      </c>
      <c r="C54" s="12">
        <v>17</v>
      </c>
      <c r="D54" s="8">
        <v>3.33</v>
      </c>
      <c r="E54" s="12">
        <v>14</v>
      </c>
      <c r="F54" s="8">
        <v>4.76</v>
      </c>
      <c r="G54" s="12">
        <v>3</v>
      </c>
      <c r="H54" s="8">
        <v>1.46</v>
      </c>
      <c r="I54" s="12">
        <v>0</v>
      </c>
    </row>
    <row r="55" spans="2:9" ht="15" customHeight="1" x14ac:dyDescent="0.2">
      <c r="B55" t="s">
        <v>137</v>
      </c>
      <c r="C55" s="12">
        <v>15</v>
      </c>
      <c r="D55" s="8">
        <v>2.94</v>
      </c>
      <c r="E55" s="12">
        <v>15</v>
      </c>
      <c r="F55" s="8">
        <v>5.0999999999999996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127</v>
      </c>
      <c r="C56" s="12">
        <v>13</v>
      </c>
      <c r="D56" s="8">
        <v>2.5499999999999998</v>
      </c>
      <c r="E56" s="12">
        <v>11</v>
      </c>
      <c r="F56" s="8">
        <v>3.74</v>
      </c>
      <c r="G56" s="12">
        <v>2</v>
      </c>
      <c r="H56" s="8">
        <v>0.97</v>
      </c>
      <c r="I56" s="12">
        <v>0</v>
      </c>
    </row>
    <row r="57" spans="2:9" ht="15" customHeight="1" x14ac:dyDescent="0.2">
      <c r="B57" t="s">
        <v>136</v>
      </c>
      <c r="C57" s="12">
        <v>13</v>
      </c>
      <c r="D57" s="8">
        <v>2.5499999999999998</v>
      </c>
      <c r="E57" s="12">
        <v>12</v>
      </c>
      <c r="F57" s="8">
        <v>4.08</v>
      </c>
      <c r="G57" s="12">
        <v>1</v>
      </c>
      <c r="H57" s="8">
        <v>0.49</v>
      </c>
      <c r="I57" s="12">
        <v>0</v>
      </c>
    </row>
    <row r="58" spans="2:9" ht="15" customHeight="1" x14ac:dyDescent="0.2">
      <c r="B58" t="s">
        <v>142</v>
      </c>
      <c r="C58" s="12">
        <v>11</v>
      </c>
      <c r="D58" s="8">
        <v>2.16</v>
      </c>
      <c r="E58" s="12">
        <v>10</v>
      </c>
      <c r="F58" s="8">
        <v>3.4</v>
      </c>
      <c r="G58" s="12">
        <v>1</v>
      </c>
      <c r="H58" s="8">
        <v>0.49</v>
      </c>
      <c r="I58" s="12">
        <v>0</v>
      </c>
    </row>
    <row r="59" spans="2:9" ht="15" customHeight="1" x14ac:dyDescent="0.2">
      <c r="B59" t="s">
        <v>139</v>
      </c>
      <c r="C59" s="12">
        <v>11</v>
      </c>
      <c r="D59" s="8">
        <v>2.16</v>
      </c>
      <c r="E59" s="12">
        <v>7</v>
      </c>
      <c r="F59" s="8">
        <v>2.38</v>
      </c>
      <c r="G59" s="12">
        <v>4</v>
      </c>
      <c r="H59" s="8">
        <v>1.94</v>
      </c>
      <c r="I59" s="12">
        <v>0</v>
      </c>
    </row>
    <row r="60" spans="2:9" ht="15" customHeight="1" x14ac:dyDescent="0.2">
      <c r="B60" t="s">
        <v>169</v>
      </c>
      <c r="C60" s="12">
        <v>10</v>
      </c>
      <c r="D60" s="8">
        <v>1.96</v>
      </c>
      <c r="E60" s="12">
        <v>3</v>
      </c>
      <c r="F60" s="8">
        <v>1.02</v>
      </c>
      <c r="G60" s="12">
        <v>7</v>
      </c>
      <c r="H60" s="8">
        <v>3.4</v>
      </c>
      <c r="I60" s="12">
        <v>0</v>
      </c>
    </row>
    <row r="61" spans="2:9" ht="15" customHeight="1" x14ac:dyDescent="0.2">
      <c r="B61" t="s">
        <v>129</v>
      </c>
      <c r="C61" s="12">
        <v>10</v>
      </c>
      <c r="D61" s="8">
        <v>1.96</v>
      </c>
      <c r="E61" s="12">
        <v>8</v>
      </c>
      <c r="F61" s="8">
        <v>2.72</v>
      </c>
      <c r="G61" s="12">
        <v>2</v>
      </c>
      <c r="H61" s="8">
        <v>0.97</v>
      </c>
      <c r="I61" s="12">
        <v>0</v>
      </c>
    </row>
    <row r="62" spans="2:9" ht="15" customHeight="1" x14ac:dyDescent="0.2">
      <c r="B62" t="s">
        <v>131</v>
      </c>
      <c r="C62" s="12">
        <v>10</v>
      </c>
      <c r="D62" s="8">
        <v>1.96</v>
      </c>
      <c r="E62" s="12">
        <v>3</v>
      </c>
      <c r="F62" s="8">
        <v>1.02</v>
      </c>
      <c r="G62" s="12">
        <v>7</v>
      </c>
      <c r="H62" s="8">
        <v>3.4</v>
      </c>
      <c r="I62" s="12">
        <v>0</v>
      </c>
    </row>
    <row r="63" spans="2:9" ht="15" customHeight="1" x14ac:dyDescent="0.2">
      <c r="B63" t="s">
        <v>128</v>
      </c>
      <c r="C63" s="12">
        <v>9</v>
      </c>
      <c r="D63" s="8">
        <v>1.76</v>
      </c>
      <c r="E63" s="12">
        <v>0</v>
      </c>
      <c r="F63" s="8">
        <v>0</v>
      </c>
      <c r="G63" s="12">
        <v>9</v>
      </c>
      <c r="H63" s="8">
        <v>4.37</v>
      </c>
      <c r="I63" s="12">
        <v>0</v>
      </c>
    </row>
    <row r="64" spans="2:9" ht="15" customHeight="1" x14ac:dyDescent="0.2">
      <c r="B64" t="s">
        <v>177</v>
      </c>
      <c r="C64" s="12">
        <v>9</v>
      </c>
      <c r="D64" s="8">
        <v>1.76</v>
      </c>
      <c r="E64" s="12">
        <v>8</v>
      </c>
      <c r="F64" s="8">
        <v>2.72</v>
      </c>
      <c r="G64" s="12">
        <v>1</v>
      </c>
      <c r="H64" s="8">
        <v>0.49</v>
      </c>
      <c r="I64" s="12">
        <v>0</v>
      </c>
    </row>
    <row r="65" spans="2:9" ht="15" customHeight="1" x14ac:dyDescent="0.2">
      <c r="B65" t="s">
        <v>133</v>
      </c>
      <c r="C65" s="12">
        <v>9</v>
      </c>
      <c r="D65" s="8">
        <v>1.76</v>
      </c>
      <c r="E65" s="12">
        <v>9</v>
      </c>
      <c r="F65" s="8">
        <v>3.06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164</v>
      </c>
      <c r="C66" s="12">
        <v>8</v>
      </c>
      <c r="D66" s="8">
        <v>1.57</v>
      </c>
      <c r="E66" s="12">
        <v>3</v>
      </c>
      <c r="F66" s="8">
        <v>1.02</v>
      </c>
      <c r="G66" s="12">
        <v>5</v>
      </c>
      <c r="H66" s="8">
        <v>2.4300000000000002</v>
      </c>
      <c r="I66" s="12">
        <v>0</v>
      </c>
    </row>
    <row r="67" spans="2:9" ht="15" customHeight="1" x14ac:dyDescent="0.2">
      <c r="B67" t="s">
        <v>141</v>
      </c>
      <c r="C67" s="12">
        <v>8</v>
      </c>
      <c r="D67" s="8">
        <v>1.57</v>
      </c>
      <c r="E67" s="12">
        <v>8</v>
      </c>
      <c r="F67" s="8">
        <v>2.72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165</v>
      </c>
      <c r="C68" s="12">
        <v>8</v>
      </c>
      <c r="D68" s="8">
        <v>1.57</v>
      </c>
      <c r="E68" s="12">
        <v>7</v>
      </c>
      <c r="F68" s="8">
        <v>2.38</v>
      </c>
      <c r="G68" s="12">
        <v>1</v>
      </c>
      <c r="H68" s="8">
        <v>0.49</v>
      </c>
      <c r="I68" s="12">
        <v>0</v>
      </c>
    </row>
    <row r="69" spans="2:9" ht="15" customHeight="1" x14ac:dyDescent="0.2">
      <c r="B69" t="s">
        <v>132</v>
      </c>
      <c r="C69" s="12">
        <v>7</v>
      </c>
      <c r="D69" s="8">
        <v>1.37</v>
      </c>
      <c r="E69" s="12">
        <v>5</v>
      </c>
      <c r="F69" s="8">
        <v>1.7</v>
      </c>
      <c r="G69" s="12">
        <v>2</v>
      </c>
      <c r="H69" s="8">
        <v>0.97</v>
      </c>
      <c r="I69" s="12">
        <v>0</v>
      </c>
    </row>
    <row r="70" spans="2:9" ht="15" customHeight="1" x14ac:dyDescent="0.2">
      <c r="B70" t="s">
        <v>146</v>
      </c>
      <c r="C70" s="12">
        <v>7</v>
      </c>
      <c r="D70" s="8">
        <v>1.37</v>
      </c>
      <c r="E70" s="12">
        <v>2</v>
      </c>
      <c r="F70" s="8">
        <v>0.68</v>
      </c>
      <c r="G70" s="12">
        <v>5</v>
      </c>
      <c r="H70" s="8">
        <v>2.4300000000000002</v>
      </c>
      <c r="I70" s="12">
        <v>0</v>
      </c>
    </row>
    <row r="71" spans="2:9" ht="15" customHeight="1" x14ac:dyDescent="0.2">
      <c r="B71" t="s">
        <v>123</v>
      </c>
      <c r="C71" s="12">
        <v>6</v>
      </c>
      <c r="D71" s="8">
        <v>1.18</v>
      </c>
      <c r="E71" s="12">
        <v>1</v>
      </c>
      <c r="F71" s="8">
        <v>0.34</v>
      </c>
      <c r="G71" s="12">
        <v>5</v>
      </c>
      <c r="H71" s="8">
        <v>2.4300000000000002</v>
      </c>
      <c r="I71" s="12">
        <v>0</v>
      </c>
    </row>
    <row r="72" spans="2:9" ht="15" customHeight="1" x14ac:dyDescent="0.2">
      <c r="B72" t="s">
        <v>186</v>
      </c>
      <c r="C72" s="12">
        <v>6</v>
      </c>
      <c r="D72" s="8">
        <v>1.18</v>
      </c>
      <c r="E72" s="12">
        <v>4</v>
      </c>
      <c r="F72" s="8">
        <v>1.36</v>
      </c>
      <c r="G72" s="12">
        <v>2</v>
      </c>
      <c r="H72" s="8">
        <v>0.97</v>
      </c>
      <c r="I72" s="12">
        <v>0</v>
      </c>
    </row>
    <row r="73" spans="2:9" ht="15" customHeight="1" x14ac:dyDescent="0.2">
      <c r="B73" t="s">
        <v>159</v>
      </c>
      <c r="C73" s="12">
        <v>6</v>
      </c>
      <c r="D73" s="8">
        <v>1.18</v>
      </c>
      <c r="E73" s="12">
        <v>1</v>
      </c>
      <c r="F73" s="8">
        <v>0.34</v>
      </c>
      <c r="G73" s="12">
        <v>5</v>
      </c>
      <c r="H73" s="8">
        <v>2.4300000000000002</v>
      </c>
      <c r="I73" s="12">
        <v>0</v>
      </c>
    </row>
    <row r="74" spans="2:9" ht="15" customHeight="1" x14ac:dyDescent="0.2">
      <c r="B74" t="s">
        <v>184</v>
      </c>
      <c r="C74" s="12">
        <v>6</v>
      </c>
      <c r="D74" s="8">
        <v>1.18</v>
      </c>
      <c r="E74" s="12">
        <v>3</v>
      </c>
      <c r="F74" s="8">
        <v>1.02</v>
      </c>
      <c r="G74" s="12">
        <v>3</v>
      </c>
      <c r="H74" s="8">
        <v>1.46</v>
      </c>
      <c r="I74" s="12">
        <v>0</v>
      </c>
    </row>
    <row r="75" spans="2:9" ht="15" customHeight="1" x14ac:dyDescent="0.2">
      <c r="B75" t="s">
        <v>197</v>
      </c>
      <c r="C75" s="12">
        <v>6</v>
      </c>
      <c r="D75" s="8">
        <v>1.18</v>
      </c>
      <c r="E75" s="12">
        <v>5</v>
      </c>
      <c r="F75" s="8">
        <v>1.7</v>
      </c>
      <c r="G75" s="12">
        <v>1</v>
      </c>
      <c r="H75" s="8">
        <v>0.49</v>
      </c>
      <c r="I75" s="12">
        <v>0</v>
      </c>
    </row>
    <row r="76" spans="2:9" ht="15" customHeight="1" x14ac:dyDescent="0.2">
      <c r="B76" t="s">
        <v>172</v>
      </c>
      <c r="C76" s="12">
        <v>6</v>
      </c>
      <c r="D76" s="8">
        <v>1.18</v>
      </c>
      <c r="E76" s="12">
        <v>3</v>
      </c>
      <c r="F76" s="8">
        <v>1.02</v>
      </c>
      <c r="G76" s="12">
        <v>3</v>
      </c>
      <c r="H76" s="8">
        <v>1.46</v>
      </c>
      <c r="I76" s="12">
        <v>0</v>
      </c>
    </row>
    <row r="77" spans="2:9" ht="15" customHeight="1" x14ac:dyDescent="0.2">
      <c r="B77" t="s">
        <v>144</v>
      </c>
      <c r="C77" s="12">
        <v>6</v>
      </c>
      <c r="D77" s="8">
        <v>1.18</v>
      </c>
      <c r="E77" s="12">
        <v>3</v>
      </c>
      <c r="F77" s="8">
        <v>1.02</v>
      </c>
      <c r="G77" s="12">
        <v>3</v>
      </c>
      <c r="H77" s="8">
        <v>1.46</v>
      </c>
      <c r="I77" s="12">
        <v>0</v>
      </c>
    </row>
    <row r="78" spans="2:9" ht="15" customHeight="1" x14ac:dyDescent="0.2">
      <c r="B78" t="s">
        <v>208</v>
      </c>
      <c r="C78" s="12">
        <v>6</v>
      </c>
      <c r="D78" s="8">
        <v>1.18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149</v>
      </c>
      <c r="C79" s="12">
        <v>6</v>
      </c>
      <c r="D79" s="8">
        <v>1.18</v>
      </c>
      <c r="E79" s="12">
        <v>1</v>
      </c>
      <c r="F79" s="8">
        <v>0.34</v>
      </c>
      <c r="G79" s="12">
        <v>5</v>
      </c>
      <c r="H79" s="8">
        <v>2.4300000000000002</v>
      </c>
      <c r="I79" s="12">
        <v>0</v>
      </c>
    </row>
    <row r="81" spans="2:2" ht="15" customHeight="1" x14ac:dyDescent="0.2">
      <c r="B81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B2B5A-F56A-4C1F-907F-DCD856A466B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213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8</v>
      </c>
      <c r="D5" s="8">
        <v>0.01</v>
      </c>
      <c r="E5" s="12">
        <v>1</v>
      </c>
      <c r="F5" s="8">
        <v>0</v>
      </c>
      <c r="G5" s="12">
        <v>7</v>
      </c>
      <c r="H5" s="8">
        <v>0.01</v>
      </c>
      <c r="I5" s="12">
        <v>0</v>
      </c>
    </row>
    <row r="6" spans="2:9" ht="15" customHeight="1" x14ac:dyDescent="0.2">
      <c r="B6" t="s">
        <v>52</v>
      </c>
      <c r="C6" s="12">
        <v>13832</v>
      </c>
      <c r="D6" s="8">
        <v>11.98</v>
      </c>
      <c r="E6" s="12">
        <v>4220</v>
      </c>
      <c r="F6" s="8">
        <v>7.04</v>
      </c>
      <c r="G6" s="12">
        <v>9610</v>
      </c>
      <c r="H6" s="8">
        <v>17.63</v>
      </c>
      <c r="I6" s="12">
        <v>2</v>
      </c>
    </row>
    <row r="7" spans="2:9" ht="15" customHeight="1" x14ac:dyDescent="0.2">
      <c r="B7" t="s">
        <v>53</v>
      </c>
      <c r="C7" s="12">
        <v>10428</v>
      </c>
      <c r="D7" s="8">
        <v>9.0299999999999994</v>
      </c>
      <c r="E7" s="12">
        <v>4523</v>
      </c>
      <c r="F7" s="8">
        <v>7.54</v>
      </c>
      <c r="G7" s="12">
        <v>5897</v>
      </c>
      <c r="H7" s="8">
        <v>10.82</v>
      </c>
      <c r="I7" s="12">
        <v>6</v>
      </c>
    </row>
    <row r="8" spans="2:9" ht="15" customHeight="1" x14ac:dyDescent="0.2">
      <c r="B8" t="s">
        <v>54</v>
      </c>
      <c r="C8" s="12">
        <v>157</v>
      </c>
      <c r="D8" s="8">
        <v>0.14000000000000001</v>
      </c>
      <c r="E8" s="12">
        <v>3</v>
      </c>
      <c r="F8" s="8">
        <v>0.01</v>
      </c>
      <c r="G8" s="12">
        <v>147</v>
      </c>
      <c r="H8" s="8">
        <v>0.27</v>
      </c>
      <c r="I8" s="12">
        <v>0</v>
      </c>
    </row>
    <row r="9" spans="2:9" ht="15" customHeight="1" x14ac:dyDescent="0.2">
      <c r="B9" t="s">
        <v>55</v>
      </c>
      <c r="C9" s="12">
        <v>1051</v>
      </c>
      <c r="D9" s="8">
        <v>0.91</v>
      </c>
      <c r="E9" s="12">
        <v>70</v>
      </c>
      <c r="F9" s="8">
        <v>0.12</v>
      </c>
      <c r="G9" s="12">
        <v>980</v>
      </c>
      <c r="H9" s="8">
        <v>1.8</v>
      </c>
      <c r="I9" s="12">
        <v>0</v>
      </c>
    </row>
    <row r="10" spans="2:9" ht="15" customHeight="1" x14ac:dyDescent="0.2">
      <c r="B10" t="s">
        <v>56</v>
      </c>
      <c r="C10" s="12">
        <v>1358</v>
      </c>
      <c r="D10" s="8">
        <v>1.18</v>
      </c>
      <c r="E10" s="12">
        <v>215</v>
      </c>
      <c r="F10" s="8">
        <v>0.36</v>
      </c>
      <c r="G10" s="12">
        <v>1128</v>
      </c>
      <c r="H10" s="8">
        <v>2.0699999999999998</v>
      </c>
      <c r="I10" s="12">
        <v>14</v>
      </c>
    </row>
    <row r="11" spans="2:9" ht="15" customHeight="1" x14ac:dyDescent="0.2">
      <c r="B11" t="s">
        <v>57</v>
      </c>
      <c r="C11" s="12">
        <v>26402</v>
      </c>
      <c r="D11" s="8">
        <v>22.86</v>
      </c>
      <c r="E11" s="12">
        <v>12815</v>
      </c>
      <c r="F11" s="8">
        <v>21.38</v>
      </c>
      <c r="G11" s="12">
        <v>13557</v>
      </c>
      <c r="H11" s="8">
        <v>24.87</v>
      </c>
      <c r="I11" s="12">
        <v>30</v>
      </c>
    </row>
    <row r="12" spans="2:9" ht="15" customHeight="1" x14ac:dyDescent="0.2">
      <c r="B12" t="s">
        <v>58</v>
      </c>
      <c r="C12" s="12">
        <v>749</v>
      </c>
      <c r="D12" s="8">
        <v>0.65</v>
      </c>
      <c r="E12" s="12">
        <v>132</v>
      </c>
      <c r="F12" s="8">
        <v>0.22</v>
      </c>
      <c r="G12" s="12">
        <v>615</v>
      </c>
      <c r="H12" s="8">
        <v>1.1299999999999999</v>
      </c>
      <c r="I12" s="12">
        <v>1</v>
      </c>
    </row>
    <row r="13" spans="2:9" ht="15" customHeight="1" x14ac:dyDescent="0.2">
      <c r="B13" t="s">
        <v>59</v>
      </c>
      <c r="C13" s="12">
        <v>11855</v>
      </c>
      <c r="D13" s="8">
        <v>10.26</v>
      </c>
      <c r="E13" s="12">
        <v>3151</v>
      </c>
      <c r="F13" s="8">
        <v>5.26</v>
      </c>
      <c r="G13" s="12">
        <v>8672</v>
      </c>
      <c r="H13" s="8">
        <v>15.91</v>
      </c>
      <c r="I13" s="12">
        <v>27</v>
      </c>
    </row>
    <row r="14" spans="2:9" ht="15" customHeight="1" x14ac:dyDescent="0.2">
      <c r="B14" t="s">
        <v>60</v>
      </c>
      <c r="C14" s="12">
        <v>6575</v>
      </c>
      <c r="D14" s="8">
        <v>5.69</v>
      </c>
      <c r="E14" s="12">
        <v>3434</v>
      </c>
      <c r="F14" s="8">
        <v>5.73</v>
      </c>
      <c r="G14" s="12">
        <v>3109</v>
      </c>
      <c r="H14" s="8">
        <v>5.7</v>
      </c>
      <c r="I14" s="12">
        <v>10</v>
      </c>
    </row>
    <row r="15" spans="2:9" ht="15" customHeight="1" x14ac:dyDescent="0.2">
      <c r="B15" t="s">
        <v>61</v>
      </c>
      <c r="C15" s="12">
        <v>15476</v>
      </c>
      <c r="D15" s="8">
        <v>13.4</v>
      </c>
      <c r="E15" s="12">
        <v>13288</v>
      </c>
      <c r="F15" s="8">
        <v>22.17</v>
      </c>
      <c r="G15" s="12">
        <v>2159</v>
      </c>
      <c r="H15" s="8">
        <v>3.96</v>
      </c>
      <c r="I15" s="12">
        <v>10</v>
      </c>
    </row>
    <row r="16" spans="2:9" ht="15" customHeight="1" x14ac:dyDescent="0.2">
      <c r="B16" t="s">
        <v>62</v>
      </c>
      <c r="C16" s="12">
        <v>12972</v>
      </c>
      <c r="D16" s="8">
        <v>11.23</v>
      </c>
      <c r="E16" s="12">
        <v>9958</v>
      </c>
      <c r="F16" s="8">
        <v>16.61</v>
      </c>
      <c r="G16" s="12">
        <v>2945</v>
      </c>
      <c r="H16" s="8">
        <v>5.4</v>
      </c>
      <c r="I16" s="12">
        <v>12</v>
      </c>
    </row>
    <row r="17" spans="2:9" ht="15" customHeight="1" x14ac:dyDescent="0.2">
      <c r="B17" t="s">
        <v>63</v>
      </c>
      <c r="C17" s="12">
        <v>4955</v>
      </c>
      <c r="D17" s="8">
        <v>4.29</v>
      </c>
      <c r="E17" s="12">
        <v>3313</v>
      </c>
      <c r="F17" s="8">
        <v>5.53</v>
      </c>
      <c r="G17" s="12">
        <v>1290</v>
      </c>
      <c r="H17" s="8">
        <v>2.37</v>
      </c>
      <c r="I17" s="12">
        <v>30</v>
      </c>
    </row>
    <row r="18" spans="2:9" ht="15" customHeight="1" x14ac:dyDescent="0.2">
      <c r="B18" t="s">
        <v>64</v>
      </c>
      <c r="C18" s="12">
        <v>5836</v>
      </c>
      <c r="D18" s="8">
        <v>5.05</v>
      </c>
      <c r="E18" s="12">
        <v>3497</v>
      </c>
      <c r="F18" s="8">
        <v>5.83</v>
      </c>
      <c r="G18" s="12">
        <v>2050</v>
      </c>
      <c r="H18" s="8">
        <v>3.76</v>
      </c>
      <c r="I18" s="12">
        <v>10</v>
      </c>
    </row>
    <row r="19" spans="2:9" ht="15" customHeight="1" x14ac:dyDescent="0.2">
      <c r="B19" t="s">
        <v>65</v>
      </c>
      <c r="C19" s="12">
        <v>3843</v>
      </c>
      <c r="D19" s="8">
        <v>3.33</v>
      </c>
      <c r="E19" s="12">
        <v>1330</v>
      </c>
      <c r="F19" s="8">
        <v>2.2200000000000002</v>
      </c>
      <c r="G19" s="12">
        <v>2346</v>
      </c>
      <c r="H19" s="8">
        <v>4.3</v>
      </c>
      <c r="I19" s="12">
        <v>73</v>
      </c>
    </row>
    <row r="20" spans="2:9" ht="15" customHeight="1" x14ac:dyDescent="0.2">
      <c r="B20" s="9" t="s">
        <v>215</v>
      </c>
      <c r="C20" s="12">
        <f>SUM(LTBL_28000[総数／事業所数])</f>
        <v>115497</v>
      </c>
      <c r="E20" s="12">
        <f>SUBTOTAL(109,LTBL_28000[個人／事業所数])</f>
        <v>59950</v>
      </c>
      <c r="G20" s="12">
        <f>SUBTOTAL(109,LTBL_28000[法人／事業所数])</f>
        <v>54512</v>
      </c>
      <c r="I20" s="12">
        <f>SUBTOTAL(109,LTBL_28000[法人以外の団体／事業所数])</f>
        <v>225</v>
      </c>
    </row>
    <row r="21" spans="2:9" ht="15" customHeight="1" x14ac:dyDescent="0.2">
      <c r="E21" s="11">
        <f>LTBL_28000[[#Totals],[個人／事業所数]]/LTBL_28000[[#Totals],[総数／事業所数]]</f>
        <v>0.5190611011541425</v>
      </c>
      <c r="G21" s="11">
        <f>LTBL_28000[[#Totals],[法人／事業所数]]/LTBL_28000[[#Totals],[総数／事業所数]]</f>
        <v>0.47197762712451408</v>
      </c>
      <c r="I21" s="11">
        <f>LTBL_28000[[#Totals],[法人以外の団体／事業所数]]/LTBL_28000[[#Totals],[総数／事業所数]]</f>
        <v>1.9481025481181329E-3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13984</v>
      </c>
      <c r="D24" s="8">
        <v>12.11</v>
      </c>
      <c r="E24" s="12">
        <v>12553</v>
      </c>
      <c r="F24" s="8">
        <v>20.94</v>
      </c>
      <c r="G24" s="12">
        <v>1422</v>
      </c>
      <c r="H24" s="8">
        <v>2.61</v>
      </c>
      <c r="I24" s="12">
        <v>9</v>
      </c>
    </row>
    <row r="25" spans="2:9" ht="15" customHeight="1" x14ac:dyDescent="0.2">
      <c r="B25" t="s">
        <v>89</v>
      </c>
      <c r="C25" s="12">
        <v>10701</v>
      </c>
      <c r="D25" s="8">
        <v>9.27</v>
      </c>
      <c r="E25" s="12">
        <v>8905</v>
      </c>
      <c r="F25" s="8">
        <v>14.85</v>
      </c>
      <c r="G25" s="12">
        <v>1796</v>
      </c>
      <c r="H25" s="8">
        <v>3.29</v>
      </c>
      <c r="I25" s="12">
        <v>0</v>
      </c>
    </row>
    <row r="26" spans="2:9" ht="15" customHeight="1" x14ac:dyDescent="0.2">
      <c r="B26" t="s">
        <v>85</v>
      </c>
      <c r="C26" s="12">
        <v>9152</v>
      </c>
      <c r="D26" s="8">
        <v>7.92</v>
      </c>
      <c r="E26" s="12">
        <v>2728</v>
      </c>
      <c r="F26" s="8">
        <v>4.55</v>
      </c>
      <c r="G26" s="12">
        <v>6393</v>
      </c>
      <c r="H26" s="8">
        <v>11.73</v>
      </c>
      <c r="I26" s="12">
        <v>26</v>
      </c>
    </row>
    <row r="27" spans="2:9" ht="15" customHeight="1" x14ac:dyDescent="0.2">
      <c r="B27" t="s">
        <v>83</v>
      </c>
      <c r="C27" s="12">
        <v>7320</v>
      </c>
      <c r="D27" s="8">
        <v>6.34</v>
      </c>
      <c r="E27" s="12">
        <v>3970</v>
      </c>
      <c r="F27" s="8">
        <v>6.62</v>
      </c>
      <c r="G27" s="12">
        <v>3339</v>
      </c>
      <c r="H27" s="8">
        <v>6.13</v>
      </c>
      <c r="I27" s="12">
        <v>11</v>
      </c>
    </row>
    <row r="28" spans="2:9" ht="15" customHeight="1" x14ac:dyDescent="0.2">
      <c r="B28" t="s">
        <v>74</v>
      </c>
      <c r="C28" s="12">
        <v>6501</v>
      </c>
      <c r="D28" s="8">
        <v>5.63</v>
      </c>
      <c r="E28" s="12">
        <v>1638</v>
      </c>
      <c r="F28" s="8">
        <v>2.73</v>
      </c>
      <c r="G28" s="12">
        <v>4862</v>
      </c>
      <c r="H28" s="8">
        <v>8.92</v>
      </c>
      <c r="I28" s="12">
        <v>1</v>
      </c>
    </row>
    <row r="29" spans="2:9" ht="15" customHeight="1" x14ac:dyDescent="0.2">
      <c r="B29" t="s">
        <v>81</v>
      </c>
      <c r="C29" s="12">
        <v>5109</v>
      </c>
      <c r="D29" s="8">
        <v>4.42</v>
      </c>
      <c r="E29" s="12">
        <v>3646</v>
      </c>
      <c r="F29" s="8">
        <v>6.08</v>
      </c>
      <c r="G29" s="12">
        <v>1451</v>
      </c>
      <c r="H29" s="8">
        <v>2.66</v>
      </c>
      <c r="I29" s="12">
        <v>12</v>
      </c>
    </row>
    <row r="30" spans="2:9" ht="15" customHeight="1" x14ac:dyDescent="0.2">
      <c r="B30" t="s">
        <v>91</v>
      </c>
      <c r="C30" s="12">
        <v>4955</v>
      </c>
      <c r="D30" s="8">
        <v>4.29</v>
      </c>
      <c r="E30" s="12">
        <v>3313</v>
      </c>
      <c r="F30" s="8">
        <v>5.53</v>
      </c>
      <c r="G30" s="12">
        <v>1290</v>
      </c>
      <c r="H30" s="8">
        <v>2.37</v>
      </c>
      <c r="I30" s="12">
        <v>30</v>
      </c>
    </row>
    <row r="31" spans="2:9" ht="15" customHeight="1" x14ac:dyDescent="0.2">
      <c r="B31" t="s">
        <v>86</v>
      </c>
      <c r="C31" s="12">
        <v>4031</v>
      </c>
      <c r="D31" s="8">
        <v>3.49</v>
      </c>
      <c r="E31" s="12">
        <v>2474</v>
      </c>
      <c r="F31" s="8">
        <v>4.13</v>
      </c>
      <c r="G31" s="12">
        <v>1549</v>
      </c>
      <c r="H31" s="8">
        <v>2.84</v>
      </c>
      <c r="I31" s="12">
        <v>8</v>
      </c>
    </row>
    <row r="32" spans="2:9" ht="15" customHeight="1" x14ac:dyDescent="0.2">
      <c r="B32" t="s">
        <v>92</v>
      </c>
      <c r="C32" s="12">
        <v>3957</v>
      </c>
      <c r="D32" s="8">
        <v>3.43</v>
      </c>
      <c r="E32" s="12">
        <v>3466</v>
      </c>
      <c r="F32" s="8">
        <v>5.78</v>
      </c>
      <c r="G32" s="12">
        <v>487</v>
      </c>
      <c r="H32" s="8">
        <v>0.89</v>
      </c>
      <c r="I32" s="12">
        <v>2</v>
      </c>
    </row>
    <row r="33" spans="2:9" ht="15" customHeight="1" x14ac:dyDescent="0.2">
      <c r="B33" t="s">
        <v>75</v>
      </c>
      <c r="C33" s="12">
        <v>3710</v>
      </c>
      <c r="D33" s="8">
        <v>3.21</v>
      </c>
      <c r="E33" s="12">
        <v>1559</v>
      </c>
      <c r="F33" s="8">
        <v>2.6</v>
      </c>
      <c r="G33" s="12">
        <v>2150</v>
      </c>
      <c r="H33" s="8">
        <v>3.94</v>
      </c>
      <c r="I33" s="12">
        <v>1</v>
      </c>
    </row>
    <row r="34" spans="2:9" ht="15" customHeight="1" x14ac:dyDescent="0.2">
      <c r="B34" t="s">
        <v>76</v>
      </c>
      <c r="C34" s="12">
        <v>3621</v>
      </c>
      <c r="D34" s="8">
        <v>3.14</v>
      </c>
      <c r="E34" s="12">
        <v>1023</v>
      </c>
      <c r="F34" s="8">
        <v>1.71</v>
      </c>
      <c r="G34" s="12">
        <v>2598</v>
      </c>
      <c r="H34" s="8">
        <v>4.7699999999999996</v>
      </c>
      <c r="I34" s="12">
        <v>0</v>
      </c>
    </row>
    <row r="35" spans="2:9" ht="15" customHeight="1" x14ac:dyDescent="0.2">
      <c r="B35" t="s">
        <v>80</v>
      </c>
      <c r="C35" s="12">
        <v>3488</v>
      </c>
      <c r="D35" s="8">
        <v>3.02</v>
      </c>
      <c r="E35" s="12">
        <v>1754</v>
      </c>
      <c r="F35" s="8">
        <v>2.93</v>
      </c>
      <c r="G35" s="12">
        <v>1733</v>
      </c>
      <c r="H35" s="8">
        <v>3.18</v>
      </c>
      <c r="I35" s="12">
        <v>1</v>
      </c>
    </row>
    <row r="36" spans="2:9" ht="15" customHeight="1" x14ac:dyDescent="0.2">
      <c r="B36" t="s">
        <v>82</v>
      </c>
      <c r="C36" s="12">
        <v>3275</v>
      </c>
      <c r="D36" s="8">
        <v>2.84</v>
      </c>
      <c r="E36" s="12">
        <v>2042</v>
      </c>
      <c r="F36" s="8">
        <v>3.41</v>
      </c>
      <c r="G36" s="12">
        <v>1233</v>
      </c>
      <c r="H36" s="8">
        <v>2.2599999999999998</v>
      </c>
      <c r="I36" s="12">
        <v>0</v>
      </c>
    </row>
    <row r="37" spans="2:9" ht="15" customHeight="1" x14ac:dyDescent="0.2">
      <c r="B37" t="s">
        <v>87</v>
      </c>
      <c r="C37" s="12">
        <v>2307</v>
      </c>
      <c r="D37" s="8">
        <v>2</v>
      </c>
      <c r="E37" s="12">
        <v>942</v>
      </c>
      <c r="F37" s="8">
        <v>1.57</v>
      </c>
      <c r="G37" s="12">
        <v>1351</v>
      </c>
      <c r="H37" s="8">
        <v>2.48</v>
      </c>
      <c r="I37" s="12">
        <v>0</v>
      </c>
    </row>
    <row r="38" spans="2:9" ht="15" customHeight="1" x14ac:dyDescent="0.2">
      <c r="B38" t="s">
        <v>84</v>
      </c>
      <c r="C38" s="12">
        <v>2225</v>
      </c>
      <c r="D38" s="8">
        <v>1.93</v>
      </c>
      <c r="E38" s="12">
        <v>375</v>
      </c>
      <c r="F38" s="8">
        <v>0.63</v>
      </c>
      <c r="G38" s="12">
        <v>1850</v>
      </c>
      <c r="H38" s="8">
        <v>3.39</v>
      </c>
      <c r="I38" s="12">
        <v>0</v>
      </c>
    </row>
    <row r="39" spans="2:9" ht="15" customHeight="1" x14ac:dyDescent="0.2">
      <c r="B39" t="s">
        <v>93</v>
      </c>
      <c r="C39" s="12">
        <v>1879</v>
      </c>
      <c r="D39" s="8">
        <v>1.63</v>
      </c>
      <c r="E39" s="12">
        <v>31</v>
      </c>
      <c r="F39" s="8">
        <v>0.05</v>
      </c>
      <c r="G39" s="12">
        <v>1563</v>
      </c>
      <c r="H39" s="8">
        <v>2.87</v>
      </c>
      <c r="I39" s="12">
        <v>8</v>
      </c>
    </row>
    <row r="40" spans="2:9" ht="15" customHeight="1" x14ac:dyDescent="0.2">
      <c r="B40" t="s">
        <v>79</v>
      </c>
      <c r="C40" s="12">
        <v>1585</v>
      </c>
      <c r="D40" s="8">
        <v>1.37</v>
      </c>
      <c r="E40" s="12">
        <v>363</v>
      </c>
      <c r="F40" s="8">
        <v>0.61</v>
      </c>
      <c r="G40" s="12">
        <v>1217</v>
      </c>
      <c r="H40" s="8">
        <v>2.23</v>
      </c>
      <c r="I40" s="12">
        <v>5</v>
      </c>
    </row>
    <row r="41" spans="2:9" ht="15" customHeight="1" x14ac:dyDescent="0.2">
      <c r="B41" t="s">
        <v>77</v>
      </c>
      <c r="C41" s="12">
        <v>1567</v>
      </c>
      <c r="D41" s="8">
        <v>1.36</v>
      </c>
      <c r="E41" s="12">
        <v>639</v>
      </c>
      <c r="F41" s="8">
        <v>1.07</v>
      </c>
      <c r="G41" s="12">
        <v>928</v>
      </c>
      <c r="H41" s="8">
        <v>1.7</v>
      </c>
      <c r="I41" s="12">
        <v>0</v>
      </c>
    </row>
    <row r="42" spans="2:9" ht="15" customHeight="1" x14ac:dyDescent="0.2">
      <c r="B42" t="s">
        <v>90</v>
      </c>
      <c r="C42" s="12">
        <v>1560</v>
      </c>
      <c r="D42" s="8">
        <v>1.35</v>
      </c>
      <c r="E42" s="12">
        <v>704</v>
      </c>
      <c r="F42" s="8">
        <v>1.17</v>
      </c>
      <c r="G42" s="12">
        <v>830</v>
      </c>
      <c r="H42" s="8">
        <v>1.52</v>
      </c>
      <c r="I42" s="12">
        <v>3</v>
      </c>
    </row>
    <row r="43" spans="2:9" ht="15" customHeight="1" x14ac:dyDescent="0.2">
      <c r="B43" t="s">
        <v>78</v>
      </c>
      <c r="C43" s="12">
        <v>1528</v>
      </c>
      <c r="D43" s="8">
        <v>1.32</v>
      </c>
      <c r="E43" s="12">
        <v>179</v>
      </c>
      <c r="F43" s="8">
        <v>0.3</v>
      </c>
      <c r="G43" s="12">
        <v>1349</v>
      </c>
      <c r="H43" s="8">
        <v>2.4700000000000002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138</v>
      </c>
      <c r="C47" s="12">
        <v>5559</v>
      </c>
      <c r="D47" s="8">
        <v>4.8099999999999996</v>
      </c>
      <c r="E47" s="12">
        <v>4955</v>
      </c>
      <c r="F47" s="8">
        <v>8.27</v>
      </c>
      <c r="G47" s="12">
        <v>604</v>
      </c>
      <c r="H47" s="8">
        <v>1.1100000000000001</v>
      </c>
      <c r="I47" s="12">
        <v>0</v>
      </c>
    </row>
    <row r="48" spans="2:9" ht="15" customHeight="1" x14ac:dyDescent="0.2">
      <c r="B48" t="s">
        <v>132</v>
      </c>
      <c r="C48" s="12">
        <v>4929</v>
      </c>
      <c r="D48" s="8">
        <v>4.2699999999999996</v>
      </c>
      <c r="E48" s="12">
        <v>1717</v>
      </c>
      <c r="F48" s="8">
        <v>2.86</v>
      </c>
      <c r="G48" s="12">
        <v>3203</v>
      </c>
      <c r="H48" s="8">
        <v>5.88</v>
      </c>
      <c r="I48" s="12">
        <v>5</v>
      </c>
    </row>
    <row r="49" spans="2:9" ht="15" customHeight="1" x14ac:dyDescent="0.2">
      <c r="B49" t="s">
        <v>136</v>
      </c>
      <c r="C49" s="12">
        <v>3184</v>
      </c>
      <c r="D49" s="8">
        <v>2.76</v>
      </c>
      <c r="E49" s="12">
        <v>2958</v>
      </c>
      <c r="F49" s="8">
        <v>4.93</v>
      </c>
      <c r="G49" s="12">
        <v>222</v>
      </c>
      <c r="H49" s="8">
        <v>0.41</v>
      </c>
      <c r="I49" s="12">
        <v>4</v>
      </c>
    </row>
    <row r="50" spans="2:9" ht="15" customHeight="1" x14ac:dyDescent="0.2">
      <c r="B50" t="s">
        <v>133</v>
      </c>
      <c r="C50" s="12">
        <v>3010</v>
      </c>
      <c r="D50" s="8">
        <v>2.61</v>
      </c>
      <c r="E50" s="12">
        <v>2509</v>
      </c>
      <c r="F50" s="8">
        <v>4.1900000000000004</v>
      </c>
      <c r="G50" s="12">
        <v>499</v>
      </c>
      <c r="H50" s="8">
        <v>0.92</v>
      </c>
      <c r="I50" s="12">
        <v>2</v>
      </c>
    </row>
    <row r="51" spans="2:9" ht="15" customHeight="1" x14ac:dyDescent="0.2">
      <c r="B51" t="s">
        <v>140</v>
      </c>
      <c r="C51" s="12">
        <v>2843</v>
      </c>
      <c r="D51" s="8">
        <v>2.46</v>
      </c>
      <c r="E51" s="12">
        <v>2186</v>
      </c>
      <c r="F51" s="8">
        <v>3.65</v>
      </c>
      <c r="G51" s="12">
        <v>642</v>
      </c>
      <c r="H51" s="8">
        <v>1.18</v>
      </c>
      <c r="I51" s="12">
        <v>14</v>
      </c>
    </row>
    <row r="52" spans="2:9" ht="15" customHeight="1" x14ac:dyDescent="0.2">
      <c r="B52" t="s">
        <v>141</v>
      </c>
      <c r="C52" s="12">
        <v>2824</v>
      </c>
      <c r="D52" s="8">
        <v>2.4500000000000002</v>
      </c>
      <c r="E52" s="12">
        <v>2515</v>
      </c>
      <c r="F52" s="8">
        <v>4.2</v>
      </c>
      <c r="G52" s="12">
        <v>307</v>
      </c>
      <c r="H52" s="8">
        <v>0.56000000000000005</v>
      </c>
      <c r="I52" s="12">
        <v>2</v>
      </c>
    </row>
    <row r="53" spans="2:9" ht="15" customHeight="1" x14ac:dyDescent="0.2">
      <c r="B53" t="s">
        <v>137</v>
      </c>
      <c r="C53" s="12">
        <v>2746</v>
      </c>
      <c r="D53" s="8">
        <v>2.38</v>
      </c>
      <c r="E53" s="12">
        <v>2600</v>
      </c>
      <c r="F53" s="8">
        <v>4.34</v>
      </c>
      <c r="G53" s="12">
        <v>146</v>
      </c>
      <c r="H53" s="8">
        <v>0.27</v>
      </c>
      <c r="I53" s="12">
        <v>0</v>
      </c>
    </row>
    <row r="54" spans="2:9" ht="15" customHeight="1" x14ac:dyDescent="0.2">
      <c r="B54" t="s">
        <v>134</v>
      </c>
      <c r="C54" s="12">
        <v>2567</v>
      </c>
      <c r="D54" s="8">
        <v>2.2200000000000002</v>
      </c>
      <c r="E54" s="12">
        <v>2366</v>
      </c>
      <c r="F54" s="8">
        <v>3.95</v>
      </c>
      <c r="G54" s="12">
        <v>201</v>
      </c>
      <c r="H54" s="8">
        <v>0.37</v>
      </c>
      <c r="I54" s="12">
        <v>0</v>
      </c>
    </row>
    <row r="55" spans="2:9" ht="15" customHeight="1" x14ac:dyDescent="0.2">
      <c r="B55" t="s">
        <v>129</v>
      </c>
      <c r="C55" s="12">
        <v>2523</v>
      </c>
      <c r="D55" s="8">
        <v>2.1800000000000002</v>
      </c>
      <c r="E55" s="12">
        <v>1725</v>
      </c>
      <c r="F55" s="8">
        <v>2.88</v>
      </c>
      <c r="G55" s="12">
        <v>795</v>
      </c>
      <c r="H55" s="8">
        <v>1.46</v>
      </c>
      <c r="I55" s="12">
        <v>3</v>
      </c>
    </row>
    <row r="56" spans="2:9" ht="15" customHeight="1" x14ac:dyDescent="0.2">
      <c r="B56" t="s">
        <v>135</v>
      </c>
      <c r="C56" s="12">
        <v>2410</v>
      </c>
      <c r="D56" s="8">
        <v>2.09</v>
      </c>
      <c r="E56" s="12">
        <v>2336</v>
      </c>
      <c r="F56" s="8">
        <v>3.9</v>
      </c>
      <c r="G56" s="12">
        <v>74</v>
      </c>
      <c r="H56" s="8">
        <v>0.14000000000000001</v>
      </c>
      <c r="I56" s="12">
        <v>0</v>
      </c>
    </row>
    <row r="57" spans="2:9" ht="15" customHeight="1" x14ac:dyDescent="0.2">
      <c r="B57" t="s">
        <v>122</v>
      </c>
      <c r="C57" s="12">
        <v>2402</v>
      </c>
      <c r="D57" s="8">
        <v>2.08</v>
      </c>
      <c r="E57" s="12">
        <v>498</v>
      </c>
      <c r="F57" s="8">
        <v>0.83</v>
      </c>
      <c r="G57" s="12">
        <v>1904</v>
      </c>
      <c r="H57" s="8">
        <v>3.49</v>
      </c>
      <c r="I57" s="12">
        <v>0</v>
      </c>
    </row>
    <row r="58" spans="2:9" ht="15" customHeight="1" x14ac:dyDescent="0.2">
      <c r="B58" t="s">
        <v>127</v>
      </c>
      <c r="C58" s="12">
        <v>1853</v>
      </c>
      <c r="D58" s="8">
        <v>1.6</v>
      </c>
      <c r="E58" s="12">
        <v>1156</v>
      </c>
      <c r="F58" s="8">
        <v>1.93</v>
      </c>
      <c r="G58" s="12">
        <v>697</v>
      </c>
      <c r="H58" s="8">
        <v>1.28</v>
      </c>
      <c r="I58" s="12">
        <v>0</v>
      </c>
    </row>
    <row r="59" spans="2:9" ht="15" customHeight="1" x14ac:dyDescent="0.2">
      <c r="B59" t="s">
        <v>131</v>
      </c>
      <c r="C59" s="12">
        <v>1782</v>
      </c>
      <c r="D59" s="8">
        <v>1.54</v>
      </c>
      <c r="E59" s="12">
        <v>221</v>
      </c>
      <c r="F59" s="8">
        <v>0.37</v>
      </c>
      <c r="G59" s="12">
        <v>1557</v>
      </c>
      <c r="H59" s="8">
        <v>2.86</v>
      </c>
      <c r="I59" s="12">
        <v>4</v>
      </c>
    </row>
    <row r="60" spans="2:9" ht="15" customHeight="1" x14ac:dyDescent="0.2">
      <c r="B60" t="s">
        <v>126</v>
      </c>
      <c r="C60" s="12">
        <v>1747</v>
      </c>
      <c r="D60" s="8">
        <v>1.51</v>
      </c>
      <c r="E60" s="12">
        <v>1156</v>
      </c>
      <c r="F60" s="8">
        <v>1.93</v>
      </c>
      <c r="G60" s="12">
        <v>582</v>
      </c>
      <c r="H60" s="8">
        <v>1.07</v>
      </c>
      <c r="I60" s="12">
        <v>9</v>
      </c>
    </row>
    <row r="61" spans="2:9" ht="15" customHeight="1" x14ac:dyDescent="0.2">
      <c r="B61" t="s">
        <v>130</v>
      </c>
      <c r="C61" s="12">
        <v>1650</v>
      </c>
      <c r="D61" s="8">
        <v>1.43</v>
      </c>
      <c r="E61" s="12">
        <v>315</v>
      </c>
      <c r="F61" s="8">
        <v>0.53</v>
      </c>
      <c r="G61" s="12">
        <v>1335</v>
      </c>
      <c r="H61" s="8">
        <v>2.4500000000000002</v>
      </c>
      <c r="I61" s="12">
        <v>0</v>
      </c>
    </row>
    <row r="62" spans="2:9" ht="15" customHeight="1" x14ac:dyDescent="0.2">
      <c r="B62" t="s">
        <v>125</v>
      </c>
      <c r="C62" s="12">
        <v>1645</v>
      </c>
      <c r="D62" s="8">
        <v>1.42</v>
      </c>
      <c r="E62" s="12">
        <v>823</v>
      </c>
      <c r="F62" s="8">
        <v>1.37</v>
      </c>
      <c r="G62" s="12">
        <v>822</v>
      </c>
      <c r="H62" s="8">
        <v>1.51</v>
      </c>
      <c r="I62" s="12">
        <v>0</v>
      </c>
    </row>
    <row r="63" spans="2:9" ht="15" customHeight="1" x14ac:dyDescent="0.2">
      <c r="B63" t="s">
        <v>123</v>
      </c>
      <c r="C63" s="12">
        <v>1575</v>
      </c>
      <c r="D63" s="8">
        <v>1.36</v>
      </c>
      <c r="E63" s="12">
        <v>333</v>
      </c>
      <c r="F63" s="8">
        <v>0.56000000000000005</v>
      </c>
      <c r="G63" s="12">
        <v>1242</v>
      </c>
      <c r="H63" s="8">
        <v>2.2799999999999998</v>
      </c>
      <c r="I63" s="12">
        <v>0</v>
      </c>
    </row>
    <row r="64" spans="2:9" ht="15" customHeight="1" x14ac:dyDescent="0.2">
      <c r="B64" t="s">
        <v>124</v>
      </c>
      <c r="C64" s="12">
        <v>1528</v>
      </c>
      <c r="D64" s="8">
        <v>1.32</v>
      </c>
      <c r="E64" s="12">
        <v>542</v>
      </c>
      <c r="F64" s="8">
        <v>0.9</v>
      </c>
      <c r="G64" s="12">
        <v>986</v>
      </c>
      <c r="H64" s="8">
        <v>1.81</v>
      </c>
      <c r="I64" s="12">
        <v>0</v>
      </c>
    </row>
    <row r="65" spans="2:9" ht="15" customHeight="1" x14ac:dyDescent="0.2">
      <c r="B65" t="s">
        <v>139</v>
      </c>
      <c r="C65" s="12">
        <v>1499</v>
      </c>
      <c r="D65" s="8">
        <v>1.3</v>
      </c>
      <c r="E65" s="12">
        <v>1098</v>
      </c>
      <c r="F65" s="8">
        <v>1.83</v>
      </c>
      <c r="G65" s="12">
        <v>400</v>
      </c>
      <c r="H65" s="8">
        <v>0.73</v>
      </c>
      <c r="I65" s="12">
        <v>1</v>
      </c>
    </row>
    <row r="66" spans="2:9" ht="15" customHeight="1" x14ac:dyDescent="0.2">
      <c r="B66" t="s">
        <v>128</v>
      </c>
      <c r="C66" s="12">
        <v>1452</v>
      </c>
      <c r="D66" s="8">
        <v>1.26</v>
      </c>
      <c r="E66" s="12">
        <v>578</v>
      </c>
      <c r="F66" s="8">
        <v>0.96</v>
      </c>
      <c r="G66" s="12">
        <v>873</v>
      </c>
      <c r="H66" s="8">
        <v>1.6</v>
      </c>
      <c r="I66" s="12">
        <v>1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1963F-51DD-4BD8-B672-C031C0B7F244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263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78</v>
      </c>
      <c r="D6" s="8">
        <v>22.54</v>
      </c>
      <c r="E6" s="12">
        <v>49</v>
      </c>
      <c r="F6" s="8">
        <v>20</v>
      </c>
      <c r="G6" s="12">
        <v>29</v>
      </c>
      <c r="H6" s="8">
        <v>30.85</v>
      </c>
      <c r="I6" s="12">
        <v>0</v>
      </c>
    </row>
    <row r="7" spans="2:9" ht="15" customHeight="1" x14ac:dyDescent="0.2">
      <c r="B7" t="s">
        <v>53</v>
      </c>
      <c r="C7" s="12">
        <v>28</v>
      </c>
      <c r="D7" s="8">
        <v>8.09</v>
      </c>
      <c r="E7" s="12">
        <v>15</v>
      </c>
      <c r="F7" s="8">
        <v>6.12</v>
      </c>
      <c r="G7" s="12">
        <v>13</v>
      </c>
      <c r="H7" s="8">
        <v>13.83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0.57999999999999996</v>
      </c>
      <c r="E8" s="12">
        <v>0</v>
      </c>
      <c r="F8" s="8">
        <v>0</v>
      </c>
      <c r="G8" s="12">
        <v>2</v>
      </c>
      <c r="H8" s="8">
        <v>2.13</v>
      </c>
      <c r="I8" s="12">
        <v>0</v>
      </c>
    </row>
    <row r="9" spans="2:9" ht="15" customHeight="1" x14ac:dyDescent="0.2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3</v>
      </c>
      <c r="D10" s="8">
        <v>0.87</v>
      </c>
      <c r="E10" s="12">
        <v>0</v>
      </c>
      <c r="F10" s="8">
        <v>0</v>
      </c>
      <c r="G10" s="12">
        <v>3</v>
      </c>
      <c r="H10" s="8">
        <v>3.19</v>
      </c>
      <c r="I10" s="12">
        <v>0</v>
      </c>
    </row>
    <row r="11" spans="2:9" ht="15" customHeight="1" x14ac:dyDescent="0.2">
      <c r="B11" t="s">
        <v>57</v>
      </c>
      <c r="C11" s="12">
        <v>77</v>
      </c>
      <c r="D11" s="8">
        <v>22.25</v>
      </c>
      <c r="E11" s="12">
        <v>55</v>
      </c>
      <c r="F11" s="8">
        <v>22.45</v>
      </c>
      <c r="G11" s="12">
        <v>22</v>
      </c>
      <c r="H11" s="8">
        <v>23.4</v>
      </c>
      <c r="I11" s="12">
        <v>0</v>
      </c>
    </row>
    <row r="12" spans="2:9" ht="15" customHeight="1" x14ac:dyDescent="0.2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59</v>
      </c>
      <c r="C13" s="12">
        <v>11</v>
      </c>
      <c r="D13" s="8">
        <v>3.18</v>
      </c>
      <c r="E13" s="12">
        <v>7</v>
      </c>
      <c r="F13" s="8">
        <v>2.86</v>
      </c>
      <c r="G13" s="12">
        <v>4</v>
      </c>
      <c r="H13" s="8">
        <v>4.26</v>
      </c>
      <c r="I13" s="12">
        <v>0</v>
      </c>
    </row>
    <row r="14" spans="2:9" ht="15" customHeight="1" x14ac:dyDescent="0.2">
      <c r="B14" t="s">
        <v>60</v>
      </c>
      <c r="C14" s="12">
        <v>11</v>
      </c>
      <c r="D14" s="8">
        <v>3.18</v>
      </c>
      <c r="E14" s="12">
        <v>8</v>
      </c>
      <c r="F14" s="8">
        <v>3.27</v>
      </c>
      <c r="G14" s="12">
        <v>3</v>
      </c>
      <c r="H14" s="8">
        <v>3.19</v>
      </c>
      <c r="I14" s="12">
        <v>0</v>
      </c>
    </row>
    <row r="15" spans="2:9" ht="15" customHeight="1" x14ac:dyDescent="0.2">
      <c r="B15" t="s">
        <v>61</v>
      </c>
      <c r="C15" s="12">
        <v>50</v>
      </c>
      <c r="D15" s="8">
        <v>14.45</v>
      </c>
      <c r="E15" s="12">
        <v>47</v>
      </c>
      <c r="F15" s="8">
        <v>19.18</v>
      </c>
      <c r="G15" s="12">
        <v>2</v>
      </c>
      <c r="H15" s="8">
        <v>2.13</v>
      </c>
      <c r="I15" s="12">
        <v>1</v>
      </c>
    </row>
    <row r="16" spans="2:9" ht="15" customHeight="1" x14ac:dyDescent="0.2">
      <c r="B16" t="s">
        <v>62</v>
      </c>
      <c r="C16" s="12">
        <v>36</v>
      </c>
      <c r="D16" s="8">
        <v>10.4</v>
      </c>
      <c r="E16" s="12">
        <v>33</v>
      </c>
      <c r="F16" s="8">
        <v>13.47</v>
      </c>
      <c r="G16" s="12">
        <v>2</v>
      </c>
      <c r="H16" s="8">
        <v>2.13</v>
      </c>
      <c r="I16" s="12">
        <v>0</v>
      </c>
    </row>
    <row r="17" spans="2:9" ht="15" customHeight="1" x14ac:dyDescent="0.2">
      <c r="B17" t="s">
        <v>63</v>
      </c>
      <c r="C17" s="12">
        <v>15</v>
      </c>
      <c r="D17" s="8">
        <v>4.34</v>
      </c>
      <c r="E17" s="12">
        <v>13</v>
      </c>
      <c r="F17" s="8">
        <v>5.31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64</v>
      </c>
      <c r="C18" s="12">
        <v>11</v>
      </c>
      <c r="D18" s="8">
        <v>3.18</v>
      </c>
      <c r="E18" s="12">
        <v>4</v>
      </c>
      <c r="F18" s="8">
        <v>1.63</v>
      </c>
      <c r="G18" s="12">
        <v>6</v>
      </c>
      <c r="H18" s="8">
        <v>6.38</v>
      </c>
      <c r="I18" s="12">
        <v>0</v>
      </c>
    </row>
    <row r="19" spans="2:9" ht="15" customHeight="1" x14ac:dyDescent="0.2">
      <c r="B19" t="s">
        <v>65</v>
      </c>
      <c r="C19" s="12">
        <v>24</v>
      </c>
      <c r="D19" s="8">
        <v>6.94</v>
      </c>
      <c r="E19" s="12">
        <v>14</v>
      </c>
      <c r="F19" s="8">
        <v>5.71</v>
      </c>
      <c r="G19" s="12">
        <v>8</v>
      </c>
      <c r="H19" s="8">
        <v>8.51</v>
      </c>
      <c r="I19" s="12">
        <v>1</v>
      </c>
    </row>
    <row r="20" spans="2:9" ht="15" customHeight="1" x14ac:dyDescent="0.2">
      <c r="B20" s="9" t="s">
        <v>215</v>
      </c>
      <c r="C20" s="12">
        <f>SUM(LTBL_28446[総数／事業所数])</f>
        <v>346</v>
      </c>
      <c r="E20" s="12">
        <f>SUBTOTAL(109,LTBL_28446[個人／事業所数])</f>
        <v>245</v>
      </c>
      <c r="G20" s="12">
        <f>SUBTOTAL(109,LTBL_28446[法人／事業所数])</f>
        <v>94</v>
      </c>
      <c r="I20" s="12">
        <f>SUBTOTAL(109,LTBL_28446[法人以外の団体／事業所数])</f>
        <v>2</v>
      </c>
    </row>
    <row r="21" spans="2:9" ht="15" customHeight="1" x14ac:dyDescent="0.2">
      <c r="E21" s="11">
        <f>LTBL_28446[[#Totals],[個人／事業所数]]/LTBL_28446[[#Totals],[総数／事業所数]]</f>
        <v>0.70809248554913296</v>
      </c>
      <c r="G21" s="11">
        <f>LTBL_28446[[#Totals],[法人／事業所数]]/LTBL_28446[[#Totals],[総数／事業所数]]</f>
        <v>0.27167630057803466</v>
      </c>
      <c r="I21" s="11">
        <f>LTBL_28446[[#Totals],[法人以外の団体／事業所数]]/LTBL_28446[[#Totals],[総数／事業所数]]</f>
        <v>5.7803468208092483E-3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46</v>
      </c>
      <c r="D24" s="8">
        <v>13.29</v>
      </c>
      <c r="E24" s="12">
        <v>44</v>
      </c>
      <c r="F24" s="8">
        <v>17.96</v>
      </c>
      <c r="G24" s="12">
        <v>1</v>
      </c>
      <c r="H24" s="8">
        <v>1.06</v>
      </c>
      <c r="I24" s="12">
        <v>1</v>
      </c>
    </row>
    <row r="25" spans="2:9" ht="15" customHeight="1" x14ac:dyDescent="0.2">
      <c r="B25" t="s">
        <v>74</v>
      </c>
      <c r="C25" s="12">
        <v>41</v>
      </c>
      <c r="D25" s="8">
        <v>11.85</v>
      </c>
      <c r="E25" s="12">
        <v>19</v>
      </c>
      <c r="F25" s="8">
        <v>7.76</v>
      </c>
      <c r="G25" s="12">
        <v>22</v>
      </c>
      <c r="H25" s="8">
        <v>23.4</v>
      </c>
      <c r="I25" s="12">
        <v>0</v>
      </c>
    </row>
    <row r="26" spans="2:9" ht="15" customHeight="1" x14ac:dyDescent="0.2">
      <c r="B26" t="s">
        <v>89</v>
      </c>
      <c r="C26" s="12">
        <v>30</v>
      </c>
      <c r="D26" s="8">
        <v>8.67</v>
      </c>
      <c r="E26" s="12">
        <v>28</v>
      </c>
      <c r="F26" s="8">
        <v>11.43</v>
      </c>
      <c r="G26" s="12">
        <v>2</v>
      </c>
      <c r="H26" s="8">
        <v>2.13</v>
      </c>
      <c r="I26" s="12">
        <v>0</v>
      </c>
    </row>
    <row r="27" spans="2:9" ht="15" customHeight="1" x14ac:dyDescent="0.2">
      <c r="B27" t="s">
        <v>75</v>
      </c>
      <c r="C27" s="12">
        <v>24</v>
      </c>
      <c r="D27" s="8">
        <v>6.94</v>
      </c>
      <c r="E27" s="12">
        <v>21</v>
      </c>
      <c r="F27" s="8">
        <v>8.57</v>
      </c>
      <c r="G27" s="12">
        <v>3</v>
      </c>
      <c r="H27" s="8">
        <v>3.19</v>
      </c>
      <c r="I27" s="12">
        <v>0</v>
      </c>
    </row>
    <row r="28" spans="2:9" ht="15" customHeight="1" x14ac:dyDescent="0.2">
      <c r="B28" t="s">
        <v>81</v>
      </c>
      <c r="C28" s="12">
        <v>21</v>
      </c>
      <c r="D28" s="8">
        <v>6.07</v>
      </c>
      <c r="E28" s="12">
        <v>16</v>
      </c>
      <c r="F28" s="8">
        <v>6.53</v>
      </c>
      <c r="G28" s="12">
        <v>5</v>
      </c>
      <c r="H28" s="8">
        <v>5.32</v>
      </c>
      <c r="I28" s="12">
        <v>0</v>
      </c>
    </row>
    <row r="29" spans="2:9" ht="15" customHeight="1" x14ac:dyDescent="0.2">
      <c r="B29" t="s">
        <v>83</v>
      </c>
      <c r="C29" s="12">
        <v>21</v>
      </c>
      <c r="D29" s="8">
        <v>6.07</v>
      </c>
      <c r="E29" s="12">
        <v>17</v>
      </c>
      <c r="F29" s="8">
        <v>6.94</v>
      </c>
      <c r="G29" s="12">
        <v>4</v>
      </c>
      <c r="H29" s="8">
        <v>4.26</v>
      </c>
      <c r="I29" s="12">
        <v>0</v>
      </c>
    </row>
    <row r="30" spans="2:9" ht="15" customHeight="1" x14ac:dyDescent="0.2">
      <c r="B30" t="s">
        <v>82</v>
      </c>
      <c r="C30" s="12">
        <v>15</v>
      </c>
      <c r="D30" s="8">
        <v>4.34</v>
      </c>
      <c r="E30" s="12">
        <v>10</v>
      </c>
      <c r="F30" s="8">
        <v>4.08</v>
      </c>
      <c r="G30" s="12">
        <v>5</v>
      </c>
      <c r="H30" s="8">
        <v>5.32</v>
      </c>
      <c r="I30" s="12">
        <v>0</v>
      </c>
    </row>
    <row r="31" spans="2:9" ht="15" customHeight="1" x14ac:dyDescent="0.2">
      <c r="B31" t="s">
        <v>91</v>
      </c>
      <c r="C31" s="12">
        <v>15</v>
      </c>
      <c r="D31" s="8">
        <v>4.34</v>
      </c>
      <c r="E31" s="12">
        <v>13</v>
      </c>
      <c r="F31" s="8">
        <v>5.31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104</v>
      </c>
      <c r="C32" s="12">
        <v>15</v>
      </c>
      <c r="D32" s="8">
        <v>4.34</v>
      </c>
      <c r="E32" s="12">
        <v>13</v>
      </c>
      <c r="F32" s="8">
        <v>5.31</v>
      </c>
      <c r="G32" s="12">
        <v>2</v>
      </c>
      <c r="H32" s="8">
        <v>2.13</v>
      </c>
      <c r="I32" s="12">
        <v>0</v>
      </c>
    </row>
    <row r="33" spans="2:9" ht="15" customHeight="1" x14ac:dyDescent="0.2">
      <c r="B33" t="s">
        <v>76</v>
      </c>
      <c r="C33" s="12">
        <v>13</v>
      </c>
      <c r="D33" s="8">
        <v>3.76</v>
      </c>
      <c r="E33" s="12">
        <v>9</v>
      </c>
      <c r="F33" s="8">
        <v>3.67</v>
      </c>
      <c r="G33" s="12">
        <v>4</v>
      </c>
      <c r="H33" s="8">
        <v>4.26</v>
      </c>
      <c r="I33" s="12">
        <v>0</v>
      </c>
    </row>
    <row r="34" spans="2:9" ht="15" customHeight="1" x14ac:dyDescent="0.2">
      <c r="B34" t="s">
        <v>80</v>
      </c>
      <c r="C34" s="12">
        <v>11</v>
      </c>
      <c r="D34" s="8">
        <v>3.18</v>
      </c>
      <c r="E34" s="12">
        <v>10</v>
      </c>
      <c r="F34" s="8">
        <v>4.08</v>
      </c>
      <c r="G34" s="12">
        <v>1</v>
      </c>
      <c r="H34" s="8">
        <v>1.06</v>
      </c>
      <c r="I34" s="12">
        <v>0</v>
      </c>
    </row>
    <row r="35" spans="2:9" ht="15" customHeight="1" x14ac:dyDescent="0.2">
      <c r="B35" t="s">
        <v>87</v>
      </c>
      <c r="C35" s="12">
        <v>8</v>
      </c>
      <c r="D35" s="8">
        <v>2.31</v>
      </c>
      <c r="E35" s="12">
        <v>5</v>
      </c>
      <c r="F35" s="8">
        <v>2.04</v>
      </c>
      <c r="G35" s="12">
        <v>3</v>
      </c>
      <c r="H35" s="8">
        <v>3.19</v>
      </c>
      <c r="I35" s="12">
        <v>0</v>
      </c>
    </row>
    <row r="36" spans="2:9" ht="15" customHeight="1" x14ac:dyDescent="0.2">
      <c r="B36" t="s">
        <v>85</v>
      </c>
      <c r="C36" s="12">
        <v>7</v>
      </c>
      <c r="D36" s="8">
        <v>2.02</v>
      </c>
      <c r="E36" s="12">
        <v>5</v>
      </c>
      <c r="F36" s="8">
        <v>2.04</v>
      </c>
      <c r="G36" s="12">
        <v>2</v>
      </c>
      <c r="H36" s="8">
        <v>2.13</v>
      </c>
      <c r="I36" s="12">
        <v>0</v>
      </c>
    </row>
    <row r="37" spans="2:9" ht="15" customHeight="1" x14ac:dyDescent="0.2">
      <c r="B37" t="s">
        <v>92</v>
      </c>
      <c r="C37" s="12">
        <v>7</v>
      </c>
      <c r="D37" s="8">
        <v>2.02</v>
      </c>
      <c r="E37" s="12">
        <v>4</v>
      </c>
      <c r="F37" s="8">
        <v>1.63</v>
      </c>
      <c r="G37" s="12">
        <v>3</v>
      </c>
      <c r="H37" s="8">
        <v>3.19</v>
      </c>
      <c r="I37" s="12">
        <v>0</v>
      </c>
    </row>
    <row r="38" spans="2:9" ht="15" customHeight="1" x14ac:dyDescent="0.2">
      <c r="B38" t="s">
        <v>112</v>
      </c>
      <c r="C38" s="12">
        <v>5</v>
      </c>
      <c r="D38" s="8">
        <v>1.45</v>
      </c>
      <c r="E38" s="12">
        <v>3</v>
      </c>
      <c r="F38" s="8">
        <v>1.22</v>
      </c>
      <c r="G38" s="12">
        <v>2</v>
      </c>
      <c r="H38" s="8">
        <v>2.13</v>
      </c>
      <c r="I38" s="12">
        <v>0</v>
      </c>
    </row>
    <row r="39" spans="2:9" ht="15" customHeight="1" x14ac:dyDescent="0.2">
      <c r="B39" t="s">
        <v>110</v>
      </c>
      <c r="C39" s="12">
        <v>4</v>
      </c>
      <c r="D39" s="8">
        <v>1.1599999999999999</v>
      </c>
      <c r="E39" s="12">
        <v>1</v>
      </c>
      <c r="F39" s="8">
        <v>0.41</v>
      </c>
      <c r="G39" s="12">
        <v>3</v>
      </c>
      <c r="H39" s="8">
        <v>3.19</v>
      </c>
      <c r="I39" s="12">
        <v>0</v>
      </c>
    </row>
    <row r="40" spans="2:9" ht="15" customHeight="1" x14ac:dyDescent="0.2">
      <c r="B40" t="s">
        <v>117</v>
      </c>
      <c r="C40" s="12">
        <v>4</v>
      </c>
      <c r="D40" s="8">
        <v>1.1599999999999999</v>
      </c>
      <c r="E40" s="12">
        <v>4</v>
      </c>
      <c r="F40" s="8">
        <v>1.63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77</v>
      </c>
      <c r="C41" s="12">
        <v>4</v>
      </c>
      <c r="D41" s="8">
        <v>1.1599999999999999</v>
      </c>
      <c r="E41" s="12">
        <v>4</v>
      </c>
      <c r="F41" s="8">
        <v>1.63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78</v>
      </c>
      <c r="C42" s="12">
        <v>4</v>
      </c>
      <c r="D42" s="8">
        <v>1.1599999999999999</v>
      </c>
      <c r="E42" s="12">
        <v>1</v>
      </c>
      <c r="F42" s="8">
        <v>0.41</v>
      </c>
      <c r="G42" s="12">
        <v>3</v>
      </c>
      <c r="H42" s="8">
        <v>3.19</v>
      </c>
      <c r="I42" s="12">
        <v>0</v>
      </c>
    </row>
    <row r="43" spans="2:9" ht="15" customHeight="1" x14ac:dyDescent="0.2">
      <c r="B43" t="s">
        <v>90</v>
      </c>
      <c r="C43" s="12">
        <v>4</v>
      </c>
      <c r="D43" s="8">
        <v>1.1599999999999999</v>
      </c>
      <c r="E43" s="12">
        <v>4</v>
      </c>
      <c r="F43" s="8">
        <v>1.63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93</v>
      </c>
      <c r="C44" s="12">
        <v>4</v>
      </c>
      <c r="D44" s="8">
        <v>1.1599999999999999</v>
      </c>
      <c r="E44" s="12">
        <v>0</v>
      </c>
      <c r="F44" s="8">
        <v>0</v>
      </c>
      <c r="G44" s="12">
        <v>3</v>
      </c>
      <c r="H44" s="8">
        <v>3.19</v>
      </c>
      <c r="I44" s="12">
        <v>0</v>
      </c>
    </row>
    <row r="45" spans="2:9" ht="15" customHeight="1" x14ac:dyDescent="0.2">
      <c r="B45" t="s">
        <v>94</v>
      </c>
      <c r="C45" s="12">
        <v>4</v>
      </c>
      <c r="D45" s="8">
        <v>1.1599999999999999</v>
      </c>
      <c r="E45" s="12">
        <v>0</v>
      </c>
      <c r="F45" s="8">
        <v>0</v>
      </c>
      <c r="G45" s="12">
        <v>3</v>
      </c>
      <c r="H45" s="8">
        <v>3.19</v>
      </c>
      <c r="I45" s="12">
        <v>1</v>
      </c>
    </row>
    <row r="48" spans="2:9" ht="33" customHeight="1" x14ac:dyDescent="0.2">
      <c r="B48" t="s">
        <v>217</v>
      </c>
      <c r="C48" s="10" t="s">
        <v>67</v>
      </c>
      <c r="D48" s="10" t="s">
        <v>68</v>
      </c>
      <c r="E48" s="10" t="s">
        <v>69</v>
      </c>
      <c r="F48" s="10" t="s">
        <v>70</v>
      </c>
      <c r="G48" s="10" t="s">
        <v>71</v>
      </c>
      <c r="H48" s="10" t="s">
        <v>72</v>
      </c>
      <c r="I48" s="10" t="s">
        <v>73</v>
      </c>
    </row>
    <row r="49" spans="2:9" ht="15" customHeight="1" x14ac:dyDescent="0.2">
      <c r="B49" t="s">
        <v>122</v>
      </c>
      <c r="C49" s="12">
        <v>25</v>
      </c>
      <c r="D49" s="8">
        <v>7.23</v>
      </c>
      <c r="E49" s="12">
        <v>12</v>
      </c>
      <c r="F49" s="8">
        <v>4.9000000000000004</v>
      </c>
      <c r="G49" s="12">
        <v>13</v>
      </c>
      <c r="H49" s="8">
        <v>13.83</v>
      </c>
      <c r="I49" s="12">
        <v>0</v>
      </c>
    </row>
    <row r="50" spans="2:9" ht="15" customHeight="1" x14ac:dyDescent="0.2">
      <c r="B50" t="s">
        <v>136</v>
      </c>
      <c r="C50" s="12">
        <v>17</v>
      </c>
      <c r="D50" s="8">
        <v>4.91</v>
      </c>
      <c r="E50" s="12">
        <v>17</v>
      </c>
      <c r="F50" s="8">
        <v>6.94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165</v>
      </c>
      <c r="C51" s="12">
        <v>15</v>
      </c>
      <c r="D51" s="8">
        <v>4.34</v>
      </c>
      <c r="E51" s="12">
        <v>13</v>
      </c>
      <c r="F51" s="8">
        <v>5.31</v>
      </c>
      <c r="G51" s="12">
        <v>2</v>
      </c>
      <c r="H51" s="8">
        <v>2.13</v>
      </c>
      <c r="I51" s="12">
        <v>0</v>
      </c>
    </row>
    <row r="52" spans="2:9" ht="15" customHeight="1" x14ac:dyDescent="0.2">
      <c r="B52" t="s">
        <v>133</v>
      </c>
      <c r="C52" s="12">
        <v>14</v>
      </c>
      <c r="D52" s="8">
        <v>4.05</v>
      </c>
      <c r="E52" s="12">
        <v>13</v>
      </c>
      <c r="F52" s="8">
        <v>5.31</v>
      </c>
      <c r="G52" s="12">
        <v>1</v>
      </c>
      <c r="H52" s="8">
        <v>1.06</v>
      </c>
      <c r="I52" s="12">
        <v>0</v>
      </c>
    </row>
    <row r="53" spans="2:9" ht="15" customHeight="1" x14ac:dyDescent="0.2">
      <c r="B53" t="s">
        <v>138</v>
      </c>
      <c r="C53" s="12">
        <v>13</v>
      </c>
      <c r="D53" s="8">
        <v>3.76</v>
      </c>
      <c r="E53" s="12">
        <v>13</v>
      </c>
      <c r="F53" s="8">
        <v>5.31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137</v>
      </c>
      <c r="C54" s="12">
        <v>11</v>
      </c>
      <c r="D54" s="8">
        <v>3.18</v>
      </c>
      <c r="E54" s="12">
        <v>11</v>
      </c>
      <c r="F54" s="8">
        <v>4.49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140</v>
      </c>
      <c r="C55" s="12">
        <v>11</v>
      </c>
      <c r="D55" s="8">
        <v>3.18</v>
      </c>
      <c r="E55" s="12">
        <v>11</v>
      </c>
      <c r="F55" s="8">
        <v>4.49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190</v>
      </c>
      <c r="C56" s="12">
        <v>9</v>
      </c>
      <c r="D56" s="8">
        <v>2.6</v>
      </c>
      <c r="E56" s="12">
        <v>8</v>
      </c>
      <c r="F56" s="8">
        <v>3.27</v>
      </c>
      <c r="G56" s="12">
        <v>1</v>
      </c>
      <c r="H56" s="8">
        <v>1.06</v>
      </c>
      <c r="I56" s="12">
        <v>0</v>
      </c>
    </row>
    <row r="57" spans="2:9" ht="15" customHeight="1" x14ac:dyDescent="0.2">
      <c r="B57" t="s">
        <v>159</v>
      </c>
      <c r="C57" s="12">
        <v>9</v>
      </c>
      <c r="D57" s="8">
        <v>2.6</v>
      </c>
      <c r="E57" s="12">
        <v>5</v>
      </c>
      <c r="F57" s="8">
        <v>2.04</v>
      </c>
      <c r="G57" s="12">
        <v>4</v>
      </c>
      <c r="H57" s="8">
        <v>4.26</v>
      </c>
      <c r="I57" s="12">
        <v>0</v>
      </c>
    </row>
    <row r="58" spans="2:9" ht="15" customHeight="1" x14ac:dyDescent="0.2">
      <c r="B58" t="s">
        <v>125</v>
      </c>
      <c r="C58" s="12">
        <v>9</v>
      </c>
      <c r="D58" s="8">
        <v>2.6</v>
      </c>
      <c r="E58" s="12">
        <v>8</v>
      </c>
      <c r="F58" s="8">
        <v>3.27</v>
      </c>
      <c r="G58" s="12">
        <v>1</v>
      </c>
      <c r="H58" s="8">
        <v>1.06</v>
      </c>
      <c r="I58" s="12">
        <v>0</v>
      </c>
    </row>
    <row r="59" spans="2:9" ht="15" customHeight="1" x14ac:dyDescent="0.2">
      <c r="B59" t="s">
        <v>129</v>
      </c>
      <c r="C59" s="12">
        <v>9</v>
      </c>
      <c r="D59" s="8">
        <v>2.6</v>
      </c>
      <c r="E59" s="12">
        <v>8</v>
      </c>
      <c r="F59" s="8">
        <v>3.27</v>
      </c>
      <c r="G59" s="12">
        <v>1</v>
      </c>
      <c r="H59" s="8">
        <v>1.06</v>
      </c>
      <c r="I59" s="12">
        <v>0</v>
      </c>
    </row>
    <row r="60" spans="2:9" ht="15" customHeight="1" x14ac:dyDescent="0.2">
      <c r="B60" t="s">
        <v>123</v>
      </c>
      <c r="C60" s="12">
        <v>8</v>
      </c>
      <c r="D60" s="8">
        <v>2.31</v>
      </c>
      <c r="E60" s="12">
        <v>4</v>
      </c>
      <c r="F60" s="8">
        <v>1.63</v>
      </c>
      <c r="G60" s="12">
        <v>4</v>
      </c>
      <c r="H60" s="8">
        <v>4.26</v>
      </c>
      <c r="I60" s="12">
        <v>0</v>
      </c>
    </row>
    <row r="61" spans="2:9" ht="15" customHeight="1" x14ac:dyDescent="0.2">
      <c r="B61" t="s">
        <v>151</v>
      </c>
      <c r="C61" s="12">
        <v>8</v>
      </c>
      <c r="D61" s="8">
        <v>2.31</v>
      </c>
      <c r="E61" s="12">
        <v>6</v>
      </c>
      <c r="F61" s="8">
        <v>2.4500000000000002</v>
      </c>
      <c r="G61" s="12">
        <v>2</v>
      </c>
      <c r="H61" s="8">
        <v>2.13</v>
      </c>
      <c r="I61" s="12">
        <v>0</v>
      </c>
    </row>
    <row r="62" spans="2:9" ht="15" customHeight="1" x14ac:dyDescent="0.2">
      <c r="B62" t="s">
        <v>127</v>
      </c>
      <c r="C62" s="12">
        <v>8</v>
      </c>
      <c r="D62" s="8">
        <v>2.31</v>
      </c>
      <c r="E62" s="12">
        <v>6</v>
      </c>
      <c r="F62" s="8">
        <v>2.4500000000000002</v>
      </c>
      <c r="G62" s="12">
        <v>2</v>
      </c>
      <c r="H62" s="8">
        <v>2.13</v>
      </c>
      <c r="I62" s="12">
        <v>0</v>
      </c>
    </row>
    <row r="63" spans="2:9" ht="15" customHeight="1" x14ac:dyDescent="0.2">
      <c r="B63" t="s">
        <v>144</v>
      </c>
      <c r="C63" s="12">
        <v>6</v>
      </c>
      <c r="D63" s="8">
        <v>1.73</v>
      </c>
      <c r="E63" s="12">
        <v>3</v>
      </c>
      <c r="F63" s="8">
        <v>1.22</v>
      </c>
      <c r="G63" s="12">
        <v>3</v>
      </c>
      <c r="H63" s="8">
        <v>3.19</v>
      </c>
      <c r="I63" s="12">
        <v>0</v>
      </c>
    </row>
    <row r="64" spans="2:9" ht="15" customHeight="1" x14ac:dyDescent="0.2">
      <c r="B64" t="s">
        <v>209</v>
      </c>
      <c r="C64" s="12">
        <v>6</v>
      </c>
      <c r="D64" s="8">
        <v>1.73</v>
      </c>
      <c r="E64" s="12">
        <v>5</v>
      </c>
      <c r="F64" s="8">
        <v>2.04</v>
      </c>
      <c r="G64" s="12">
        <v>0</v>
      </c>
      <c r="H64" s="8">
        <v>0</v>
      </c>
      <c r="I64" s="12">
        <v>1</v>
      </c>
    </row>
    <row r="65" spans="2:9" ht="15" customHeight="1" x14ac:dyDescent="0.2">
      <c r="B65" t="s">
        <v>169</v>
      </c>
      <c r="C65" s="12">
        <v>5</v>
      </c>
      <c r="D65" s="8">
        <v>1.45</v>
      </c>
      <c r="E65" s="12">
        <v>2</v>
      </c>
      <c r="F65" s="8">
        <v>0.82</v>
      </c>
      <c r="G65" s="12">
        <v>3</v>
      </c>
      <c r="H65" s="8">
        <v>3.19</v>
      </c>
      <c r="I65" s="12">
        <v>0</v>
      </c>
    </row>
    <row r="66" spans="2:9" ht="15" customHeight="1" x14ac:dyDescent="0.2">
      <c r="B66" t="s">
        <v>185</v>
      </c>
      <c r="C66" s="12">
        <v>5</v>
      </c>
      <c r="D66" s="8">
        <v>1.45</v>
      </c>
      <c r="E66" s="12">
        <v>5</v>
      </c>
      <c r="F66" s="8">
        <v>2.04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186</v>
      </c>
      <c r="C67" s="12">
        <v>5</v>
      </c>
      <c r="D67" s="8">
        <v>1.45</v>
      </c>
      <c r="E67" s="12">
        <v>3</v>
      </c>
      <c r="F67" s="8">
        <v>1.22</v>
      </c>
      <c r="G67" s="12">
        <v>2</v>
      </c>
      <c r="H67" s="8">
        <v>2.13</v>
      </c>
      <c r="I67" s="12">
        <v>0</v>
      </c>
    </row>
    <row r="68" spans="2:9" ht="15" customHeight="1" x14ac:dyDescent="0.2">
      <c r="B68" t="s">
        <v>207</v>
      </c>
      <c r="C68" s="12">
        <v>5</v>
      </c>
      <c r="D68" s="8">
        <v>1.45</v>
      </c>
      <c r="E68" s="12">
        <v>3</v>
      </c>
      <c r="F68" s="8">
        <v>1.22</v>
      </c>
      <c r="G68" s="12">
        <v>2</v>
      </c>
      <c r="H68" s="8">
        <v>2.13</v>
      </c>
      <c r="I68" s="12">
        <v>0</v>
      </c>
    </row>
    <row r="69" spans="2:9" ht="15" customHeight="1" x14ac:dyDescent="0.2">
      <c r="B69" t="s">
        <v>176</v>
      </c>
      <c r="C69" s="12">
        <v>5</v>
      </c>
      <c r="D69" s="8">
        <v>1.45</v>
      </c>
      <c r="E69" s="12">
        <v>2</v>
      </c>
      <c r="F69" s="8">
        <v>0.82</v>
      </c>
      <c r="G69" s="12">
        <v>3</v>
      </c>
      <c r="H69" s="8">
        <v>3.19</v>
      </c>
      <c r="I69" s="12">
        <v>0</v>
      </c>
    </row>
    <row r="70" spans="2:9" ht="15" customHeight="1" x14ac:dyDescent="0.2">
      <c r="B70" t="s">
        <v>146</v>
      </c>
      <c r="C70" s="12">
        <v>5</v>
      </c>
      <c r="D70" s="8">
        <v>1.45</v>
      </c>
      <c r="E70" s="12">
        <v>3</v>
      </c>
      <c r="F70" s="8">
        <v>1.22</v>
      </c>
      <c r="G70" s="12">
        <v>2</v>
      </c>
      <c r="H70" s="8">
        <v>2.13</v>
      </c>
      <c r="I70" s="12">
        <v>0</v>
      </c>
    </row>
    <row r="72" spans="2:9" ht="15" customHeight="1" x14ac:dyDescent="0.2">
      <c r="B72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954F0-0CEF-42F8-ADD8-C7CD4D22DDFB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264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149</v>
      </c>
      <c r="D6" s="8">
        <v>20.11</v>
      </c>
      <c r="E6" s="12">
        <v>62</v>
      </c>
      <c r="F6" s="8">
        <v>13.72</v>
      </c>
      <c r="G6" s="12">
        <v>87</v>
      </c>
      <c r="H6" s="8">
        <v>31.18</v>
      </c>
      <c r="I6" s="12">
        <v>0</v>
      </c>
    </row>
    <row r="7" spans="2:9" ht="15" customHeight="1" x14ac:dyDescent="0.2">
      <c r="B7" t="s">
        <v>53</v>
      </c>
      <c r="C7" s="12">
        <v>52</v>
      </c>
      <c r="D7" s="8">
        <v>7.02</v>
      </c>
      <c r="E7" s="12">
        <v>21</v>
      </c>
      <c r="F7" s="8">
        <v>4.6500000000000004</v>
      </c>
      <c r="G7" s="12">
        <v>31</v>
      </c>
      <c r="H7" s="8">
        <v>11.11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3</v>
      </c>
      <c r="D9" s="8">
        <v>0.4</v>
      </c>
      <c r="E9" s="12">
        <v>1</v>
      </c>
      <c r="F9" s="8">
        <v>0.22</v>
      </c>
      <c r="G9" s="12">
        <v>2</v>
      </c>
      <c r="H9" s="8">
        <v>0.72</v>
      </c>
      <c r="I9" s="12">
        <v>0</v>
      </c>
    </row>
    <row r="10" spans="2:9" ht="15" customHeight="1" x14ac:dyDescent="0.2">
      <c r="B10" t="s">
        <v>56</v>
      </c>
      <c r="C10" s="12">
        <v>6</v>
      </c>
      <c r="D10" s="8">
        <v>0.81</v>
      </c>
      <c r="E10" s="12">
        <v>2</v>
      </c>
      <c r="F10" s="8">
        <v>0.44</v>
      </c>
      <c r="G10" s="12">
        <v>4</v>
      </c>
      <c r="H10" s="8">
        <v>1.43</v>
      </c>
      <c r="I10" s="12">
        <v>0</v>
      </c>
    </row>
    <row r="11" spans="2:9" ht="15" customHeight="1" x14ac:dyDescent="0.2">
      <c r="B11" t="s">
        <v>57</v>
      </c>
      <c r="C11" s="12">
        <v>142</v>
      </c>
      <c r="D11" s="8">
        <v>19.16</v>
      </c>
      <c r="E11" s="12">
        <v>84</v>
      </c>
      <c r="F11" s="8">
        <v>18.579999999999998</v>
      </c>
      <c r="G11" s="12">
        <v>58</v>
      </c>
      <c r="H11" s="8">
        <v>20.79</v>
      </c>
      <c r="I11" s="12">
        <v>0</v>
      </c>
    </row>
    <row r="12" spans="2:9" ht="15" customHeight="1" x14ac:dyDescent="0.2">
      <c r="B12" t="s">
        <v>58</v>
      </c>
      <c r="C12" s="12">
        <v>3</v>
      </c>
      <c r="D12" s="8">
        <v>0.4</v>
      </c>
      <c r="E12" s="12">
        <v>2</v>
      </c>
      <c r="F12" s="8">
        <v>0.44</v>
      </c>
      <c r="G12" s="12">
        <v>1</v>
      </c>
      <c r="H12" s="8">
        <v>0.36</v>
      </c>
      <c r="I12" s="12">
        <v>0</v>
      </c>
    </row>
    <row r="13" spans="2:9" ht="15" customHeight="1" x14ac:dyDescent="0.2">
      <c r="B13" t="s">
        <v>59</v>
      </c>
      <c r="C13" s="12">
        <v>70</v>
      </c>
      <c r="D13" s="8">
        <v>9.4499999999999993</v>
      </c>
      <c r="E13" s="12">
        <v>37</v>
      </c>
      <c r="F13" s="8">
        <v>8.19</v>
      </c>
      <c r="G13" s="12">
        <v>33</v>
      </c>
      <c r="H13" s="8">
        <v>11.83</v>
      </c>
      <c r="I13" s="12">
        <v>0</v>
      </c>
    </row>
    <row r="14" spans="2:9" ht="15" customHeight="1" x14ac:dyDescent="0.2">
      <c r="B14" t="s">
        <v>60</v>
      </c>
      <c r="C14" s="12">
        <v>32</v>
      </c>
      <c r="D14" s="8">
        <v>4.32</v>
      </c>
      <c r="E14" s="12">
        <v>22</v>
      </c>
      <c r="F14" s="8">
        <v>4.87</v>
      </c>
      <c r="G14" s="12">
        <v>10</v>
      </c>
      <c r="H14" s="8">
        <v>3.58</v>
      </c>
      <c r="I14" s="12">
        <v>0</v>
      </c>
    </row>
    <row r="15" spans="2:9" ht="15" customHeight="1" x14ac:dyDescent="0.2">
      <c r="B15" t="s">
        <v>61</v>
      </c>
      <c r="C15" s="12">
        <v>71</v>
      </c>
      <c r="D15" s="8">
        <v>9.58</v>
      </c>
      <c r="E15" s="12">
        <v>60</v>
      </c>
      <c r="F15" s="8">
        <v>13.27</v>
      </c>
      <c r="G15" s="12">
        <v>10</v>
      </c>
      <c r="H15" s="8">
        <v>3.58</v>
      </c>
      <c r="I15" s="12">
        <v>0</v>
      </c>
    </row>
    <row r="16" spans="2:9" ht="15" customHeight="1" x14ac:dyDescent="0.2">
      <c r="B16" t="s">
        <v>62</v>
      </c>
      <c r="C16" s="12">
        <v>97</v>
      </c>
      <c r="D16" s="8">
        <v>13.09</v>
      </c>
      <c r="E16" s="12">
        <v>80</v>
      </c>
      <c r="F16" s="8">
        <v>17.7</v>
      </c>
      <c r="G16" s="12">
        <v>15</v>
      </c>
      <c r="H16" s="8">
        <v>5.38</v>
      </c>
      <c r="I16" s="12">
        <v>0</v>
      </c>
    </row>
    <row r="17" spans="2:9" ht="15" customHeight="1" x14ac:dyDescent="0.2">
      <c r="B17" t="s">
        <v>63</v>
      </c>
      <c r="C17" s="12">
        <v>61</v>
      </c>
      <c r="D17" s="8">
        <v>8.23</v>
      </c>
      <c r="E17" s="12">
        <v>50</v>
      </c>
      <c r="F17" s="8">
        <v>11.06</v>
      </c>
      <c r="G17" s="12">
        <v>6</v>
      </c>
      <c r="H17" s="8">
        <v>2.15</v>
      </c>
      <c r="I17" s="12">
        <v>0</v>
      </c>
    </row>
    <row r="18" spans="2:9" ht="15" customHeight="1" x14ac:dyDescent="0.2">
      <c r="B18" t="s">
        <v>64</v>
      </c>
      <c r="C18" s="12">
        <v>34</v>
      </c>
      <c r="D18" s="8">
        <v>4.59</v>
      </c>
      <c r="E18" s="12">
        <v>20</v>
      </c>
      <c r="F18" s="8">
        <v>4.42</v>
      </c>
      <c r="G18" s="12">
        <v>12</v>
      </c>
      <c r="H18" s="8">
        <v>4.3</v>
      </c>
      <c r="I18" s="12">
        <v>0</v>
      </c>
    </row>
    <row r="19" spans="2:9" ht="15" customHeight="1" x14ac:dyDescent="0.2">
      <c r="B19" t="s">
        <v>65</v>
      </c>
      <c r="C19" s="12">
        <v>21</v>
      </c>
      <c r="D19" s="8">
        <v>2.83</v>
      </c>
      <c r="E19" s="12">
        <v>11</v>
      </c>
      <c r="F19" s="8">
        <v>2.4300000000000002</v>
      </c>
      <c r="G19" s="12">
        <v>10</v>
      </c>
      <c r="H19" s="8">
        <v>3.58</v>
      </c>
      <c r="I19" s="12">
        <v>0</v>
      </c>
    </row>
    <row r="20" spans="2:9" ht="15" customHeight="1" x14ac:dyDescent="0.2">
      <c r="B20" s="9" t="s">
        <v>215</v>
      </c>
      <c r="C20" s="12">
        <f>SUM(LTBL_28464[総数／事業所数])</f>
        <v>741</v>
      </c>
      <c r="E20" s="12">
        <f>SUBTOTAL(109,LTBL_28464[個人／事業所数])</f>
        <v>452</v>
      </c>
      <c r="G20" s="12">
        <f>SUBTOTAL(109,LTBL_28464[法人／事業所数])</f>
        <v>279</v>
      </c>
      <c r="I20" s="12">
        <f>SUBTOTAL(109,LTBL_28464[法人以外の団体／事業所数])</f>
        <v>0</v>
      </c>
    </row>
    <row r="21" spans="2:9" ht="15" customHeight="1" x14ac:dyDescent="0.2">
      <c r="E21" s="11">
        <f>LTBL_28464[[#Totals],[個人／事業所数]]/LTBL_28464[[#Totals],[総数／事業所数]]</f>
        <v>0.60998650472334681</v>
      </c>
      <c r="G21" s="11">
        <f>LTBL_28464[[#Totals],[法人／事業所数]]/LTBL_28464[[#Totals],[総数／事業所数]]</f>
        <v>0.37651821862348178</v>
      </c>
      <c r="I21" s="11">
        <f>LTBL_28464[[#Totals],[法人以外の団体／事業所数]]/LTBL_28464[[#Totals],[総数／事業所数]]</f>
        <v>0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89</v>
      </c>
      <c r="C24" s="12">
        <v>81</v>
      </c>
      <c r="D24" s="8">
        <v>10.93</v>
      </c>
      <c r="E24" s="12">
        <v>72</v>
      </c>
      <c r="F24" s="8">
        <v>15.93</v>
      </c>
      <c r="G24" s="12">
        <v>9</v>
      </c>
      <c r="H24" s="8">
        <v>3.23</v>
      </c>
      <c r="I24" s="12">
        <v>0</v>
      </c>
    </row>
    <row r="25" spans="2:9" ht="15" customHeight="1" x14ac:dyDescent="0.2">
      <c r="B25" t="s">
        <v>88</v>
      </c>
      <c r="C25" s="12">
        <v>65</v>
      </c>
      <c r="D25" s="8">
        <v>8.77</v>
      </c>
      <c r="E25" s="12">
        <v>58</v>
      </c>
      <c r="F25" s="8">
        <v>12.83</v>
      </c>
      <c r="G25" s="12">
        <v>7</v>
      </c>
      <c r="H25" s="8">
        <v>2.5099999999999998</v>
      </c>
      <c r="I25" s="12">
        <v>0</v>
      </c>
    </row>
    <row r="26" spans="2:9" ht="15" customHeight="1" x14ac:dyDescent="0.2">
      <c r="B26" t="s">
        <v>91</v>
      </c>
      <c r="C26" s="12">
        <v>61</v>
      </c>
      <c r="D26" s="8">
        <v>8.23</v>
      </c>
      <c r="E26" s="12">
        <v>50</v>
      </c>
      <c r="F26" s="8">
        <v>11.06</v>
      </c>
      <c r="G26" s="12">
        <v>6</v>
      </c>
      <c r="H26" s="8">
        <v>2.15</v>
      </c>
      <c r="I26" s="12">
        <v>0</v>
      </c>
    </row>
    <row r="27" spans="2:9" ht="15" customHeight="1" x14ac:dyDescent="0.2">
      <c r="B27" t="s">
        <v>74</v>
      </c>
      <c r="C27" s="12">
        <v>59</v>
      </c>
      <c r="D27" s="8">
        <v>7.96</v>
      </c>
      <c r="E27" s="12">
        <v>16</v>
      </c>
      <c r="F27" s="8">
        <v>3.54</v>
      </c>
      <c r="G27" s="12">
        <v>43</v>
      </c>
      <c r="H27" s="8">
        <v>15.41</v>
      </c>
      <c r="I27" s="12">
        <v>0</v>
      </c>
    </row>
    <row r="28" spans="2:9" ht="15" customHeight="1" x14ac:dyDescent="0.2">
      <c r="B28" t="s">
        <v>85</v>
      </c>
      <c r="C28" s="12">
        <v>56</v>
      </c>
      <c r="D28" s="8">
        <v>7.56</v>
      </c>
      <c r="E28" s="12">
        <v>35</v>
      </c>
      <c r="F28" s="8">
        <v>7.74</v>
      </c>
      <c r="G28" s="12">
        <v>21</v>
      </c>
      <c r="H28" s="8">
        <v>7.53</v>
      </c>
      <c r="I28" s="12">
        <v>0</v>
      </c>
    </row>
    <row r="29" spans="2:9" ht="15" customHeight="1" x14ac:dyDescent="0.2">
      <c r="B29" t="s">
        <v>76</v>
      </c>
      <c r="C29" s="12">
        <v>47</v>
      </c>
      <c r="D29" s="8">
        <v>6.34</v>
      </c>
      <c r="E29" s="12">
        <v>22</v>
      </c>
      <c r="F29" s="8">
        <v>4.87</v>
      </c>
      <c r="G29" s="12">
        <v>25</v>
      </c>
      <c r="H29" s="8">
        <v>8.9600000000000009</v>
      </c>
      <c r="I29" s="12">
        <v>0</v>
      </c>
    </row>
    <row r="30" spans="2:9" ht="15" customHeight="1" x14ac:dyDescent="0.2">
      <c r="B30" t="s">
        <v>75</v>
      </c>
      <c r="C30" s="12">
        <v>43</v>
      </c>
      <c r="D30" s="8">
        <v>5.8</v>
      </c>
      <c r="E30" s="12">
        <v>24</v>
      </c>
      <c r="F30" s="8">
        <v>5.31</v>
      </c>
      <c r="G30" s="12">
        <v>19</v>
      </c>
      <c r="H30" s="8">
        <v>6.81</v>
      </c>
      <c r="I30" s="12">
        <v>0</v>
      </c>
    </row>
    <row r="31" spans="2:9" ht="15" customHeight="1" x14ac:dyDescent="0.2">
      <c r="B31" t="s">
        <v>83</v>
      </c>
      <c r="C31" s="12">
        <v>39</v>
      </c>
      <c r="D31" s="8">
        <v>5.26</v>
      </c>
      <c r="E31" s="12">
        <v>20</v>
      </c>
      <c r="F31" s="8">
        <v>4.42</v>
      </c>
      <c r="G31" s="12">
        <v>19</v>
      </c>
      <c r="H31" s="8">
        <v>6.81</v>
      </c>
      <c r="I31" s="12">
        <v>0</v>
      </c>
    </row>
    <row r="32" spans="2:9" ht="15" customHeight="1" x14ac:dyDescent="0.2">
      <c r="B32" t="s">
        <v>82</v>
      </c>
      <c r="C32" s="12">
        <v>27</v>
      </c>
      <c r="D32" s="8">
        <v>3.64</v>
      </c>
      <c r="E32" s="12">
        <v>21</v>
      </c>
      <c r="F32" s="8">
        <v>4.6500000000000004</v>
      </c>
      <c r="G32" s="12">
        <v>6</v>
      </c>
      <c r="H32" s="8">
        <v>2.15</v>
      </c>
      <c r="I32" s="12">
        <v>0</v>
      </c>
    </row>
    <row r="33" spans="2:9" ht="15" customHeight="1" x14ac:dyDescent="0.2">
      <c r="B33" t="s">
        <v>81</v>
      </c>
      <c r="C33" s="12">
        <v>24</v>
      </c>
      <c r="D33" s="8">
        <v>3.24</v>
      </c>
      <c r="E33" s="12">
        <v>17</v>
      </c>
      <c r="F33" s="8">
        <v>3.76</v>
      </c>
      <c r="G33" s="12">
        <v>7</v>
      </c>
      <c r="H33" s="8">
        <v>2.5099999999999998</v>
      </c>
      <c r="I33" s="12">
        <v>0</v>
      </c>
    </row>
    <row r="34" spans="2:9" ht="15" customHeight="1" x14ac:dyDescent="0.2">
      <c r="B34" t="s">
        <v>86</v>
      </c>
      <c r="C34" s="12">
        <v>23</v>
      </c>
      <c r="D34" s="8">
        <v>3.1</v>
      </c>
      <c r="E34" s="12">
        <v>18</v>
      </c>
      <c r="F34" s="8">
        <v>3.98</v>
      </c>
      <c r="G34" s="12">
        <v>5</v>
      </c>
      <c r="H34" s="8">
        <v>1.79</v>
      </c>
      <c r="I34" s="12">
        <v>0</v>
      </c>
    </row>
    <row r="35" spans="2:9" ht="15" customHeight="1" x14ac:dyDescent="0.2">
      <c r="B35" t="s">
        <v>92</v>
      </c>
      <c r="C35" s="12">
        <v>23</v>
      </c>
      <c r="D35" s="8">
        <v>3.1</v>
      </c>
      <c r="E35" s="12">
        <v>20</v>
      </c>
      <c r="F35" s="8">
        <v>4.42</v>
      </c>
      <c r="G35" s="12">
        <v>3</v>
      </c>
      <c r="H35" s="8">
        <v>1.08</v>
      </c>
      <c r="I35" s="12">
        <v>0</v>
      </c>
    </row>
    <row r="36" spans="2:9" ht="15" customHeight="1" x14ac:dyDescent="0.2">
      <c r="B36" t="s">
        <v>80</v>
      </c>
      <c r="C36" s="12">
        <v>17</v>
      </c>
      <c r="D36" s="8">
        <v>2.29</v>
      </c>
      <c r="E36" s="12">
        <v>12</v>
      </c>
      <c r="F36" s="8">
        <v>2.65</v>
      </c>
      <c r="G36" s="12">
        <v>5</v>
      </c>
      <c r="H36" s="8">
        <v>1.79</v>
      </c>
      <c r="I36" s="12">
        <v>0</v>
      </c>
    </row>
    <row r="37" spans="2:9" ht="15" customHeight="1" x14ac:dyDescent="0.2">
      <c r="B37" t="s">
        <v>84</v>
      </c>
      <c r="C37" s="12">
        <v>11</v>
      </c>
      <c r="D37" s="8">
        <v>1.48</v>
      </c>
      <c r="E37" s="12">
        <v>2</v>
      </c>
      <c r="F37" s="8">
        <v>0.44</v>
      </c>
      <c r="G37" s="12">
        <v>9</v>
      </c>
      <c r="H37" s="8">
        <v>3.23</v>
      </c>
      <c r="I37" s="12">
        <v>0</v>
      </c>
    </row>
    <row r="38" spans="2:9" ht="15" customHeight="1" x14ac:dyDescent="0.2">
      <c r="B38" t="s">
        <v>93</v>
      </c>
      <c r="C38" s="12">
        <v>11</v>
      </c>
      <c r="D38" s="8">
        <v>1.48</v>
      </c>
      <c r="E38" s="12">
        <v>0</v>
      </c>
      <c r="F38" s="8">
        <v>0</v>
      </c>
      <c r="G38" s="12">
        <v>9</v>
      </c>
      <c r="H38" s="8">
        <v>3.23</v>
      </c>
      <c r="I38" s="12">
        <v>0</v>
      </c>
    </row>
    <row r="39" spans="2:9" ht="15" customHeight="1" x14ac:dyDescent="0.2">
      <c r="B39" t="s">
        <v>104</v>
      </c>
      <c r="C39" s="12">
        <v>10</v>
      </c>
      <c r="D39" s="8">
        <v>1.35</v>
      </c>
      <c r="E39" s="12">
        <v>7</v>
      </c>
      <c r="F39" s="8">
        <v>1.55</v>
      </c>
      <c r="G39" s="12">
        <v>3</v>
      </c>
      <c r="H39" s="8">
        <v>1.08</v>
      </c>
      <c r="I39" s="12">
        <v>0</v>
      </c>
    </row>
    <row r="40" spans="2:9" ht="15" customHeight="1" x14ac:dyDescent="0.2">
      <c r="B40" t="s">
        <v>108</v>
      </c>
      <c r="C40" s="12">
        <v>9</v>
      </c>
      <c r="D40" s="8">
        <v>1.21</v>
      </c>
      <c r="E40" s="12">
        <v>3</v>
      </c>
      <c r="F40" s="8">
        <v>0.66</v>
      </c>
      <c r="G40" s="12">
        <v>6</v>
      </c>
      <c r="H40" s="8">
        <v>2.15</v>
      </c>
      <c r="I40" s="12">
        <v>0</v>
      </c>
    </row>
    <row r="41" spans="2:9" ht="15" customHeight="1" x14ac:dyDescent="0.2">
      <c r="B41" t="s">
        <v>87</v>
      </c>
      <c r="C41" s="12">
        <v>9</v>
      </c>
      <c r="D41" s="8">
        <v>1.21</v>
      </c>
      <c r="E41" s="12">
        <v>4</v>
      </c>
      <c r="F41" s="8">
        <v>0.88</v>
      </c>
      <c r="G41" s="12">
        <v>5</v>
      </c>
      <c r="H41" s="8">
        <v>1.79</v>
      </c>
      <c r="I41" s="12">
        <v>0</v>
      </c>
    </row>
    <row r="42" spans="2:9" ht="15" customHeight="1" x14ac:dyDescent="0.2">
      <c r="B42" t="s">
        <v>90</v>
      </c>
      <c r="C42" s="12">
        <v>9</v>
      </c>
      <c r="D42" s="8">
        <v>1.21</v>
      </c>
      <c r="E42" s="12">
        <v>4</v>
      </c>
      <c r="F42" s="8">
        <v>0.88</v>
      </c>
      <c r="G42" s="12">
        <v>4</v>
      </c>
      <c r="H42" s="8">
        <v>1.43</v>
      </c>
      <c r="I42" s="12">
        <v>0</v>
      </c>
    </row>
    <row r="43" spans="2:9" ht="15" customHeight="1" x14ac:dyDescent="0.2">
      <c r="B43" t="s">
        <v>99</v>
      </c>
      <c r="C43" s="12">
        <v>8</v>
      </c>
      <c r="D43" s="8">
        <v>1.08</v>
      </c>
      <c r="E43" s="12">
        <v>5</v>
      </c>
      <c r="F43" s="8">
        <v>1.1100000000000001</v>
      </c>
      <c r="G43" s="12">
        <v>3</v>
      </c>
      <c r="H43" s="8">
        <v>1.08</v>
      </c>
      <c r="I43" s="12">
        <v>0</v>
      </c>
    </row>
    <row r="44" spans="2:9" ht="15" customHeight="1" x14ac:dyDescent="0.2">
      <c r="B44" t="s">
        <v>77</v>
      </c>
      <c r="C44" s="12">
        <v>8</v>
      </c>
      <c r="D44" s="8">
        <v>1.08</v>
      </c>
      <c r="E44" s="12">
        <v>2</v>
      </c>
      <c r="F44" s="8">
        <v>0.44</v>
      </c>
      <c r="G44" s="12">
        <v>6</v>
      </c>
      <c r="H44" s="8">
        <v>2.15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138</v>
      </c>
      <c r="C48" s="12">
        <v>50</v>
      </c>
      <c r="D48" s="8">
        <v>6.75</v>
      </c>
      <c r="E48" s="12">
        <v>47</v>
      </c>
      <c r="F48" s="8">
        <v>10.4</v>
      </c>
      <c r="G48" s="12">
        <v>3</v>
      </c>
      <c r="H48" s="8">
        <v>1.08</v>
      </c>
      <c r="I48" s="12">
        <v>0</v>
      </c>
    </row>
    <row r="49" spans="2:9" ht="15" customHeight="1" x14ac:dyDescent="0.2">
      <c r="B49" t="s">
        <v>140</v>
      </c>
      <c r="C49" s="12">
        <v>40</v>
      </c>
      <c r="D49" s="8">
        <v>5.4</v>
      </c>
      <c r="E49" s="12">
        <v>38</v>
      </c>
      <c r="F49" s="8">
        <v>8.41</v>
      </c>
      <c r="G49" s="12">
        <v>2</v>
      </c>
      <c r="H49" s="8">
        <v>0.72</v>
      </c>
      <c r="I49" s="12">
        <v>0</v>
      </c>
    </row>
    <row r="50" spans="2:9" ht="15" customHeight="1" x14ac:dyDescent="0.2">
      <c r="B50" t="s">
        <v>132</v>
      </c>
      <c r="C50" s="12">
        <v>38</v>
      </c>
      <c r="D50" s="8">
        <v>5.13</v>
      </c>
      <c r="E50" s="12">
        <v>25</v>
      </c>
      <c r="F50" s="8">
        <v>5.53</v>
      </c>
      <c r="G50" s="12">
        <v>13</v>
      </c>
      <c r="H50" s="8">
        <v>4.66</v>
      </c>
      <c r="I50" s="12">
        <v>0</v>
      </c>
    </row>
    <row r="51" spans="2:9" ht="15" customHeight="1" x14ac:dyDescent="0.2">
      <c r="B51" t="s">
        <v>136</v>
      </c>
      <c r="C51" s="12">
        <v>26</v>
      </c>
      <c r="D51" s="8">
        <v>3.51</v>
      </c>
      <c r="E51" s="12">
        <v>25</v>
      </c>
      <c r="F51" s="8">
        <v>5.53</v>
      </c>
      <c r="G51" s="12">
        <v>1</v>
      </c>
      <c r="H51" s="8">
        <v>0.36</v>
      </c>
      <c r="I51" s="12">
        <v>0</v>
      </c>
    </row>
    <row r="52" spans="2:9" ht="15" customHeight="1" x14ac:dyDescent="0.2">
      <c r="B52" t="s">
        <v>122</v>
      </c>
      <c r="C52" s="12">
        <v>25</v>
      </c>
      <c r="D52" s="8">
        <v>3.37</v>
      </c>
      <c r="E52" s="12">
        <v>7</v>
      </c>
      <c r="F52" s="8">
        <v>1.55</v>
      </c>
      <c r="G52" s="12">
        <v>18</v>
      </c>
      <c r="H52" s="8">
        <v>6.45</v>
      </c>
      <c r="I52" s="12">
        <v>0</v>
      </c>
    </row>
    <row r="53" spans="2:9" ht="15" customHeight="1" x14ac:dyDescent="0.2">
      <c r="B53" t="s">
        <v>159</v>
      </c>
      <c r="C53" s="12">
        <v>21</v>
      </c>
      <c r="D53" s="8">
        <v>2.83</v>
      </c>
      <c r="E53" s="12">
        <v>11</v>
      </c>
      <c r="F53" s="8">
        <v>2.4300000000000002</v>
      </c>
      <c r="G53" s="12">
        <v>10</v>
      </c>
      <c r="H53" s="8">
        <v>3.58</v>
      </c>
      <c r="I53" s="12">
        <v>0</v>
      </c>
    </row>
    <row r="54" spans="2:9" ht="15" customHeight="1" x14ac:dyDescent="0.2">
      <c r="B54" t="s">
        <v>127</v>
      </c>
      <c r="C54" s="12">
        <v>19</v>
      </c>
      <c r="D54" s="8">
        <v>2.56</v>
      </c>
      <c r="E54" s="12">
        <v>15</v>
      </c>
      <c r="F54" s="8">
        <v>3.32</v>
      </c>
      <c r="G54" s="12">
        <v>4</v>
      </c>
      <c r="H54" s="8">
        <v>1.43</v>
      </c>
      <c r="I54" s="12">
        <v>0</v>
      </c>
    </row>
    <row r="55" spans="2:9" ht="15" customHeight="1" x14ac:dyDescent="0.2">
      <c r="B55" t="s">
        <v>124</v>
      </c>
      <c r="C55" s="12">
        <v>18</v>
      </c>
      <c r="D55" s="8">
        <v>2.4300000000000002</v>
      </c>
      <c r="E55" s="12">
        <v>7</v>
      </c>
      <c r="F55" s="8">
        <v>1.55</v>
      </c>
      <c r="G55" s="12">
        <v>11</v>
      </c>
      <c r="H55" s="8">
        <v>3.94</v>
      </c>
      <c r="I55" s="12">
        <v>0</v>
      </c>
    </row>
    <row r="56" spans="2:9" ht="15" customHeight="1" x14ac:dyDescent="0.2">
      <c r="B56" t="s">
        <v>137</v>
      </c>
      <c r="C56" s="12">
        <v>18</v>
      </c>
      <c r="D56" s="8">
        <v>2.4300000000000002</v>
      </c>
      <c r="E56" s="12">
        <v>17</v>
      </c>
      <c r="F56" s="8">
        <v>3.76</v>
      </c>
      <c r="G56" s="12">
        <v>1</v>
      </c>
      <c r="H56" s="8">
        <v>0.36</v>
      </c>
      <c r="I56" s="12">
        <v>0</v>
      </c>
    </row>
    <row r="57" spans="2:9" ht="15" customHeight="1" x14ac:dyDescent="0.2">
      <c r="B57" t="s">
        <v>141</v>
      </c>
      <c r="C57" s="12">
        <v>18</v>
      </c>
      <c r="D57" s="8">
        <v>2.4300000000000002</v>
      </c>
      <c r="E57" s="12">
        <v>15</v>
      </c>
      <c r="F57" s="8">
        <v>3.32</v>
      </c>
      <c r="G57" s="12">
        <v>3</v>
      </c>
      <c r="H57" s="8">
        <v>1.08</v>
      </c>
      <c r="I57" s="12">
        <v>0</v>
      </c>
    </row>
    <row r="58" spans="2:9" ht="15" customHeight="1" x14ac:dyDescent="0.2">
      <c r="B58" t="s">
        <v>139</v>
      </c>
      <c r="C58" s="12">
        <v>15</v>
      </c>
      <c r="D58" s="8">
        <v>2.02</v>
      </c>
      <c r="E58" s="12">
        <v>12</v>
      </c>
      <c r="F58" s="8">
        <v>2.65</v>
      </c>
      <c r="G58" s="12">
        <v>3</v>
      </c>
      <c r="H58" s="8">
        <v>1.08</v>
      </c>
      <c r="I58" s="12">
        <v>0</v>
      </c>
    </row>
    <row r="59" spans="2:9" ht="15" customHeight="1" x14ac:dyDescent="0.2">
      <c r="B59" t="s">
        <v>129</v>
      </c>
      <c r="C59" s="12">
        <v>13</v>
      </c>
      <c r="D59" s="8">
        <v>1.75</v>
      </c>
      <c r="E59" s="12">
        <v>10</v>
      </c>
      <c r="F59" s="8">
        <v>2.21</v>
      </c>
      <c r="G59" s="12">
        <v>3</v>
      </c>
      <c r="H59" s="8">
        <v>1.08</v>
      </c>
      <c r="I59" s="12">
        <v>0</v>
      </c>
    </row>
    <row r="60" spans="2:9" ht="15" customHeight="1" x14ac:dyDescent="0.2">
      <c r="B60" t="s">
        <v>123</v>
      </c>
      <c r="C60" s="12">
        <v>12</v>
      </c>
      <c r="D60" s="8">
        <v>1.62</v>
      </c>
      <c r="E60" s="12">
        <v>3</v>
      </c>
      <c r="F60" s="8">
        <v>0.66</v>
      </c>
      <c r="G60" s="12">
        <v>9</v>
      </c>
      <c r="H60" s="8">
        <v>3.23</v>
      </c>
      <c r="I60" s="12">
        <v>0</v>
      </c>
    </row>
    <row r="61" spans="2:9" ht="15" customHeight="1" x14ac:dyDescent="0.2">
      <c r="B61" t="s">
        <v>169</v>
      </c>
      <c r="C61" s="12">
        <v>12</v>
      </c>
      <c r="D61" s="8">
        <v>1.62</v>
      </c>
      <c r="E61" s="12">
        <v>4</v>
      </c>
      <c r="F61" s="8">
        <v>0.88</v>
      </c>
      <c r="G61" s="12">
        <v>8</v>
      </c>
      <c r="H61" s="8">
        <v>2.87</v>
      </c>
      <c r="I61" s="12">
        <v>0</v>
      </c>
    </row>
    <row r="62" spans="2:9" ht="15" customHeight="1" x14ac:dyDescent="0.2">
      <c r="B62" t="s">
        <v>133</v>
      </c>
      <c r="C62" s="12">
        <v>12</v>
      </c>
      <c r="D62" s="8">
        <v>1.62</v>
      </c>
      <c r="E62" s="12">
        <v>9</v>
      </c>
      <c r="F62" s="8">
        <v>1.99</v>
      </c>
      <c r="G62" s="12">
        <v>3</v>
      </c>
      <c r="H62" s="8">
        <v>1.08</v>
      </c>
      <c r="I62" s="12">
        <v>0</v>
      </c>
    </row>
    <row r="63" spans="2:9" ht="15" customHeight="1" x14ac:dyDescent="0.2">
      <c r="B63" t="s">
        <v>186</v>
      </c>
      <c r="C63" s="12">
        <v>11</v>
      </c>
      <c r="D63" s="8">
        <v>1.48</v>
      </c>
      <c r="E63" s="12">
        <v>5</v>
      </c>
      <c r="F63" s="8">
        <v>1.1100000000000001</v>
      </c>
      <c r="G63" s="12">
        <v>6</v>
      </c>
      <c r="H63" s="8">
        <v>2.15</v>
      </c>
      <c r="I63" s="12">
        <v>0</v>
      </c>
    </row>
    <row r="64" spans="2:9" ht="15" customHeight="1" x14ac:dyDescent="0.2">
      <c r="B64" t="s">
        <v>131</v>
      </c>
      <c r="C64" s="12">
        <v>10</v>
      </c>
      <c r="D64" s="8">
        <v>1.35</v>
      </c>
      <c r="E64" s="12">
        <v>4</v>
      </c>
      <c r="F64" s="8">
        <v>0.88</v>
      </c>
      <c r="G64" s="12">
        <v>6</v>
      </c>
      <c r="H64" s="8">
        <v>2.15</v>
      </c>
      <c r="I64" s="12">
        <v>0</v>
      </c>
    </row>
    <row r="65" spans="2:9" ht="15" customHeight="1" x14ac:dyDescent="0.2">
      <c r="B65" t="s">
        <v>165</v>
      </c>
      <c r="C65" s="12">
        <v>10</v>
      </c>
      <c r="D65" s="8">
        <v>1.35</v>
      </c>
      <c r="E65" s="12">
        <v>7</v>
      </c>
      <c r="F65" s="8">
        <v>1.55</v>
      </c>
      <c r="G65" s="12">
        <v>3</v>
      </c>
      <c r="H65" s="8">
        <v>1.08</v>
      </c>
      <c r="I65" s="12">
        <v>0</v>
      </c>
    </row>
    <row r="66" spans="2:9" ht="15" customHeight="1" x14ac:dyDescent="0.2">
      <c r="B66" t="s">
        <v>130</v>
      </c>
      <c r="C66" s="12">
        <v>9</v>
      </c>
      <c r="D66" s="8">
        <v>1.21</v>
      </c>
      <c r="E66" s="12">
        <v>1</v>
      </c>
      <c r="F66" s="8">
        <v>0.22</v>
      </c>
      <c r="G66" s="12">
        <v>8</v>
      </c>
      <c r="H66" s="8">
        <v>2.87</v>
      </c>
      <c r="I66" s="12">
        <v>0</v>
      </c>
    </row>
    <row r="67" spans="2:9" ht="15" customHeight="1" x14ac:dyDescent="0.2">
      <c r="B67" t="s">
        <v>134</v>
      </c>
      <c r="C67" s="12">
        <v>9</v>
      </c>
      <c r="D67" s="8">
        <v>1.21</v>
      </c>
      <c r="E67" s="12">
        <v>8</v>
      </c>
      <c r="F67" s="8">
        <v>1.77</v>
      </c>
      <c r="G67" s="12">
        <v>1</v>
      </c>
      <c r="H67" s="8">
        <v>0.36</v>
      </c>
      <c r="I67" s="12">
        <v>0</v>
      </c>
    </row>
    <row r="68" spans="2:9" ht="15" customHeight="1" x14ac:dyDescent="0.2">
      <c r="B68" t="s">
        <v>135</v>
      </c>
      <c r="C68" s="12">
        <v>9</v>
      </c>
      <c r="D68" s="8">
        <v>1.21</v>
      </c>
      <c r="E68" s="12">
        <v>9</v>
      </c>
      <c r="F68" s="8">
        <v>1.99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AAFF-92AE-483A-82CD-87D915B10DE2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265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63</v>
      </c>
      <c r="D6" s="8">
        <v>16.940000000000001</v>
      </c>
      <c r="E6" s="12">
        <v>33</v>
      </c>
      <c r="F6" s="8">
        <v>13.52</v>
      </c>
      <c r="G6" s="12">
        <v>30</v>
      </c>
      <c r="H6" s="8">
        <v>27.03</v>
      </c>
      <c r="I6" s="12">
        <v>0</v>
      </c>
    </row>
    <row r="7" spans="2:9" ht="15" customHeight="1" x14ac:dyDescent="0.2">
      <c r="B7" t="s">
        <v>53</v>
      </c>
      <c r="C7" s="12">
        <v>22</v>
      </c>
      <c r="D7" s="8">
        <v>5.91</v>
      </c>
      <c r="E7" s="12">
        <v>14</v>
      </c>
      <c r="F7" s="8">
        <v>5.74</v>
      </c>
      <c r="G7" s="12">
        <v>8</v>
      </c>
      <c r="H7" s="8">
        <v>7.21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56</v>
      </c>
      <c r="C10" s="12">
        <v>5</v>
      </c>
      <c r="D10" s="8">
        <v>1.34</v>
      </c>
      <c r="E10" s="12">
        <v>1</v>
      </c>
      <c r="F10" s="8">
        <v>0.41</v>
      </c>
      <c r="G10" s="12">
        <v>3</v>
      </c>
      <c r="H10" s="8">
        <v>2.7</v>
      </c>
      <c r="I10" s="12">
        <v>1</v>
      </c>
    </row>
    <row r="11" spans="2:9" ht="15" customHeight="1" x14ac:dyDescent="0.2">
      <c r="B11" t="s">
        <v>57</v>
      </c>
      <c r="C11" s="12">
        <v>95</v>
      </c>
      <c r="D11" s="8">
        <v>25.54</v>
      </c>
      <c r="E11" s="12">
        <v>59</v>
      </c>
      <c r="F11" s="8">
        <v>24.18</v>
      </c>
      <c r="G11" s="12">
        <v>35</v>
      </c>
      <c r="H11" s="8">
        <v>31.53</v>
      </c>
      <c r="I11" s="12">
        <v>1</v>
      </c>
    </row>
    <row r="12" spans="2:9" ht="15" customHeight="1" x14ac:dyDescent="0.2">
      <c r="B12" t="s">
        <v>58</v>
      </c>
      <c r="C12" s="12">
        <v>1</v>
      </c>
      <c r="D12" s="8">
        <v>0.27</v>
      </c>
      <c r="E12" s="12">
        <v>0</v>
      </c>
      <c r="F12" s="8">
        <v>0</v>
      </c>
      <c r="G12" s="12">
        <v>1</v>
      </c>
      <c r="H12" s="8">
        <v>0.9</v>
      </c>
      <c r="I12" s="12">
        <v>0</v>
      </c>
    </row>
    <row r="13" spans="2:9" ht="15" customHeight="1" x14ac:dyDescent="0.2">
      <c r="B13" t="s">
        <v>59</v>
      </c>
      <c r="C13" s="12">
        <v>35</v>
      </c>
      <c r="D13" s="8">
        <v>9.41</v>
      </c>
      <c r="E13" s="12">
        <v>29</v>
      </c>
      <c r="F13" s="8">
        <v>11.89</v>
      </c>
      <c r="G13" s="12">
        <v>6</v>
      </c>
      <c r="H13" s="8">
        <v>5.41</v>
      </c>
      <c r="I13" s="12">
        <v>0</v>
      </c>
    </row>
    <row r="14" spans="2:9" ht="15" customHeight="1" x14ac:dyDescent="0.2">
      <c r="B14" t="s">
        <v>60</v>
      </c>
      <c r="C14" s="12">
        <v>17</v>
      </c>
      <c r="D14" s="8">
        <v>4.57</v>
      </c>
      <c r="E14" s="12">
        <v>10</v>
      </c>
      <c r="F14" s="8">
        <v>4.0999999999999996</v>
      </c>
      <c r="G14" s="12">
        <v>7</v>
      </c>
      <c r="H14" s="8">
        <v>6.31</v>
      </c>
      <c r="I14" s="12">
        <v>0</v>
      </c>
    </row>
    <row r="15" spans="2:9" ht="15" customHeight="1" x14ac:dyDescent="0.2">
      <c r="B15" t="s">
        <v>61</v>
      </c>
      <c r="C15" s="12">
        <v>30</v>
      </c>
      <c r="D15" s="8">
        <v>8.06</v>
      </c>
      <c r="E15" s="12">
        <v>28</v>
      </c>
      <c r="F15" s="8">
        <v>11.48</v>
      </c>
      <c r="G15" s="12">
        <v>1</v>
      </c>
      <c r="H15" s="8">
        <v>0.9</v>
      </c>
      <c r="I15" s="12">
        <v>0</v>
      </c>
    </row>
    <row r="16" spans="2:9" ht="15" customHeight="1" x14ac:dyDescent="0.2">
      <c r="B16" t="s">
        <v>62</v>
      </c>
      <c r="C16" s="12">
        <v>49</v>
      </c>
      <c r="D16" s="8">
        <v>13.17</v>
      </c>
      <c r="E16" s="12">
        <v>41</v>
      </c>
      <c r="F16" s="8">
        <v>16.8</v>
      </c>
      <c r="G16" s="12">
        <v>8</v>
      </c>
      <c r="H16" s="8">
        <v>7.21</v>
      </c>
      <c r="I16" s="12">
        <v>0</v>
      </c>
    </row>
    <row r="17" spans="2:9" ht="15" customHeight="1" x14ac:dyDescent="0.2">
      <c r="B17" t="s">
        <v>63</v>
      </c>
      <c r="C17" s="12">
        <v>27</v>
      </c>
      <c r="D17" s="8">
        <v>7.26</v>
      </c>
      <c r="E17" s="12">
        <v>15</v>
      </c>
      <c r="F17" s="8">
        <v>6.15</v>
      </c>
      <c r="G17" s="12">
        <v>1</v>
      </c>
      <c r="H17" s="8">
        <v>0.9</v>
      </c>
      <c r="I17" s="12">
        <v>0</v>
      </c>
    </row>
    <row r="18" spans="2:9" ht="15" customHeight="1" x14ac:dyDescent="0.2">
      <c r="B18" t="s">
        <v>64</v>
      </c>
      <c r="C18" s="12">
        <v>19</v>
      </c>
      <c r="D18" s="8">
        <v>5.1100000000000003</v>
      </c>
      <c r="E18" s="12">
        <v>11</v>
      </c>
      <c r="F18" s="8">
        <v>4.51</v>
      </c>
      <c r="G18" s="12">
        <v>7</v>
      </c>
      <c r="H18" s="8">
        <v>6.31</v>
      </c>
      <c r="I18" s="12">
        <v>0</v>
      </c>
    </row>
    <row r="19" spans="2:9" ht="15" customHeight="1" x14ac:dyDescent="0.2">
      <c r="B19" t="s">
        <v>65</v>
      </c>
      <c r="C19" s="12">
        <v>9</v>
      </c>
      <c r="D19" s="8">
        <v>2.42</v>
      </c>
      <c r="E19" s="12">
        <v>3</v>
      </c>
      <c r="F19" s="8">
        <v>1.23</v>
      </c>
      <c r="G19" s="12">
        <v>4</v>
      </c>
      <c r="H19" s="8">
        <v>3.6</v>
      </c>
      <c r="I19" s="12">
        <v>0</v>
      </c>
    </row>
    <row r="20" spans="2:9" ht="15" customHeight="1" x14ac:dyDescent="0.2">
      <c r="B20" s="9" t="s">
        <v>215</v>
      </c>
      <c r="C20" s="12">
        <f>SUM(LTBL_28481[総数／事業所数])</f>
        <v>372</v>
      </c>
      <c r="E20" s="12">
        <f>SUBTOTAL(109,LTBL_28481[個人／事業所数])</f>
        <v>244</v>
      </c>
      <c r="G20" s="12">
        <f>SUBTOTAL(109,LTBL_28481[法人／事業所数])</f>
        <v>111</v>
      </c>
      <c r="I20" s="12">
        <f>SUBTOTAL(109,LTBL_28481[法人以外の団体／事業所数])</f>
        <v>2</v>
      </c>
    </row>
    <row r="21" spans="2:9" ht="15" customHeight="1" x14ac:dyDescent="0.2">
      <c r="E21" s="11">
        <f>LTBL_28481[[#Totals],[個人／事業所数]]/LTBL_28481[[#Totals],[総数／事業所数]]</f>
        <v>0.65591397849462363</v>
      </c>
      <c r="G21" s="11">
        <f>LTBL_28481[[#Totals],[法人／事業所数]]/LTBL_28481[[#Totals],[総数／事業所数]]</f>
        <v>0.29838709677419356</v>
      </c>
      <c r="I21" s="11">
        <f>LTBL_28481[[#Totals],[法人以外の団体／事業所数]]/LTBL_28481[[#Totals],[総数／事業所数]]</f>
        <v>5.3763440860215058E-3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83</v>
      </c>
      <c r="C24" s="12">
        <v>37</v>
      </c>
      <c r="D24" s="8">
        <v>9.9499999999999993</v>
      </c>
      <c r="E24" s="12">
        <v>30</v>
      </c>
      <c r="F24" s="8">
        <v>12.3</v>
      </c>
      <c r="G24" s="12">
        <v>7</v>
      </c>
      <c r="H24" s="8">
        <v>6.31</v>
      </c>
      <c r="I24" s="12">
        <v>0</v>
      </c>
    </row>
    <row r="25" spans="2:9" ht="15" customHeight="1" x14ac:dyDescent="0.2">
      <c r="B25" t="s">
        <v>89</v>
      </c>
      <c r="C25" s="12">
        <v>34</v>
      </c>
      <c r="D25" s="8">
        <v>9.14</v>
      </c>
      <c r="E25" s="12">
        <v>31</v>
      </c>
      <c r="F25" s="8">
        <v>12.7</v>
      </c>
      <c r="G25" s="12">
        <v>3</v>
      </c>
      <c r="H25" s="8">
        <v>2.7</v>
      </c>
      <c r="I25" s="12">
        <v>0</v>
      </c>
    </row>
    <row r="26" spans="2:9" ht="15" customHeight="1" x14ac:dyDescent="0.2">
      <c r="B26" t="s">
        <v>74</v>
      </c>
      <c r="C26" s="12">
        <v>31</v>
      </c>
      <c r="D26" s="8">
        <v>8.33</v>
      </c>
      <c r="E26" s="12">
        <v>15</v>
      </c>
      <c r="F26" s="8">
        <v>6.15</v>
      </c>
      <c r="G26" s="12">
        <v>16</v>
      </c>
      <c r="H26" s="8">
        <v>14.41</v>
      </c>
      <c r="I26" s="12">
        <v>0</v>
      </c>
    </row>
    <row r="27" spans="2:9" ht="15" customHeight="1" x14ac:dyDescent="0.2">
      <c r="B27" t="s">
        <v>85</v>
      </c>
      <c r="C27" s="12">
        <v>29</v>
      </c>
      <c r="D27" s="8">
        <v>7.8</v>
      </c>
      <c r="E27" s="12">
        <v>26</v>
      </c>
      <c r="F27" s="8">
        <v>10.66</v>
      </c>
      <c r="G27" s="12">
        <v>3</v>
      </c>
      <c r="H27" s="8">
        <v>2.7</v>
      </c>
      <c r="I27" s="12">
        <v>0</v>
      </c>
    </row>
    <row r="28" spans="2:9" ht="15" customHeight="1" x14ac:dyDescent="0.2">
      <c r="B28" t="s">
        <v>91</v>
      </c>
      <c r="C28" s="12">
        <v>27</v>
      </c>
      <c r="D28" s="8">
        <v>7.26</v>
      </c>
      <c r="E28" s="12">
        <v>15</v>
      </c>
      <c r="F28" s="8">
        <v>6.15</v>
      </c>
      <c r="G28" s="12">
        <v>1</v>
      </c>
      <c r="H28" s="8">
        <v>0.9</v>
      </c>
      <c r="I28" s="12">
        <v>0</v>
      </c>
    </row>
    <row r="29" spans="2:9" ht="15" customHeight="1" x14ac:dyDescent="0.2">
      <c r="B29" t="s">
        <v>88</v>
      </c>
      <c r="C29" s="12">
        <v>26</v>
      </c>
      <c r="D29" s="8">
        <v>6.99</v>
      </c>
      <c r="E29" s="12">
        <v>26</v>
      </c>
      <c r="F29" s="8">
        <v>10.66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76</v>
      </c>
      <c r="C30" s="12">
        <v>19</v>
      </c>
      <c r="D30" s="8">
        <v>5.1100000000000003</v>
      </c>
      <c r="E30" s="12">
        <v>11</v>
      </c>
      <c r="F30" s="8">
        <v>4.51</v>
      </c>
      <c r="G30" s="12">
        <v>8</v>
      </c>
      <c r="H30" s="8">
        <v>7.21</v>
      </c>
      <c r="I30" s="12">
        <v>0</v>
      </c>
    </row>
    <row r="31" spans="2:9" ht="15" customHeight="1" x14ac:dyDescent="0.2">
      <c r="B31" t="s">
        <v>81</v>
      </c>
      <c r="C31" s="12">
        <v>19</v>
      </c>
      <c r="D31" s="8">
        <v>5.1100000000000003</v>
      </c>
      <c r="E31" s="12">
        <v>14</v>
      </c>
      <c r="F31" s="8">
        <v>5.74</v>
      </c>
      <c r="G31" s="12">
        <v>4</v>
      </c>
      <c r="H31" s="8">
        <v>3.6</v>
      </c>
      <c r="I31" s="12">
        <v>1</v>
      </c>
    </row>
    <row r="32" spans="2:9" ht="15" customHeight="1" x14ac:dyDescent="0.2">
      <c r="B32" t="s">
        <v>75</v>
      </c>
      <c r="C32" s="12">
        <v>13</v>
      </c>
      <c r="D32" s="8">
        <v>3.49</v>
      </c>
      <c r="E32" s="12">
        <v>7</v>
      </c>
      <c r="F32" s="8">
        <v>2.87</v>
      </c>
      <c r="G32" s="12">
        <v>6</v>
      </c>
      <c r="H32" s="8">
        <v>5.41</v>
      </c>
      <c r="I32" s="12">
        <v>0</v>
      </c>
    </row>
    <row r="33" spans="2:9" ht="15" customHeight="1" x14ac:dyDescent="0.2">
      <c r="B33" t="s">
        <v>82</v>
      </c>
      <c r="C33" s="12">
        <v>13</v>
      </c>
      <c r="D33" s="8">
        <v>3.49</v>
      </c>
      <c r="E33" s="12">
        <v>6</v>
      </c>
      <c r="F33" s="8">
        <v>2.46</v>
      </c>
      <c r="G33" s="12">
        <v>7</v>
      </c>
      <c r="H33" s="8">
        <v>6.31</v>
      </c>
      <c r="I33" s="12">
        <v>0</v>
      </c>
    </row>
    <row r="34" spans="2:9" ht="15" customHeight="1" x14ac:dyDescent="0.2">
      <c r="B34" t="s">
        <v>90</v>
      </c>
      <c r="C34" s="12">
        <v>12</v>
      </c>
      <c r="D34" s="8">
        <v>3.23</v>
      </c>
      <c r="E34" s="12">
        <v>9</v>
      </c>
      <c r="F34" s="8">
        <v>3.69</v>
      </c>
      <c r="G34" s="12">
        <v>3</v>
      </c>
      <c r="H34" s="8">
        <v>2.7</v>
      </c>
      <c r="I34" s="12">
        <v>0</v>
      </c>
    </row>
    <row r="35" spans="2:9" ht="15" customHeight="1" x14ac:dyDescent="0.2">
      <c r="B35" t="s">
        <v>87</v>
      </c>
      <c r="C35" s="12">
        <v>11</v>
      </c>
      <c r="D35" s="8">
        <v>2.96</v>
      </c>
      <c r="E35" s="12">
        <v>5</v>
      </c>
      <c r="F35" s="8">
        <v>2.0499999999999998</v>
      </c>
      <c r="G35" s="12">
        <v>6</v>
      </c>
      <c r="H35" s="8">
        <v>5.41</v>
      </c>
      <c r="I35" s="12">
        <v>0</v>
      </c>
    </row>
    <row r="36" spans="2:9" ht="15" customHeight="1" x14ac:dyDescent="0.2">
      <c r="B36" t="s">
        <v>92</v>
      </c>
      <c r="C36" s="12">
        <v>11</v>
      </c>
      <c r="D36" s="8">
        <v>2.96</v>
      </c>
      <c r="E36" s="12">
        <v>11</v>
      </c>
      <c r="F36" s="8">
        <v>4.51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93</v>
      </c>
      <c r="C37" s="12">
        <v>8</v>
      </c>
      <c r="D37" s="8">
        <v>2.15</v>
      </c>
      <c r="E37" s="12">
        <v>0</v>
      </c>
      <c r="F37" s="8">
        <v>0</v>
      </c>
      <c r="G37" s="12">
        <v>7</v>
      </c>
      <c r="H37" s="8">
        <v>6.31</v>
      </c>
      <c r="I37" s="12">
        <v>0</v>
      </c>
    </row>
    <row r="38" spans="2:9" ht="15" customHeight="1" x14ac:dyDescent="0.2">
      <c r="B38" t="s">
        <v>97</v>
      </c>
      <c r="C38" s="12">
        <v>7</v>
      </c>
      <c r="D38" s="8">
        <v>1.88</v>
      </c>
      <c r="E38" s="12">
        <v>0</v>
      </c>
      <c r="F38" s="8">
        <v>0</v>
      </c>
      <c r="G38" s="12">
        <v>7</v>
      </c>
      <c r="H38" s="8">
        <v>6.31</v>
      </c>
      <c r="I38" s="12">
        <v>0</v>
      </c>
    </row>
    <row r="39" spans="2:9" ht="15" customHeight="1" x14ac:dyDescent="0.2">
      <c r="B39" t="s">
        <v>80</v>
      </c>
      <c r="C39" s="12">
        <v>7</v>
      </c>
      <c r="D39" s="8">
        <v>1.88</v>
      </c>
      <c r="E39" s="12">
        <v>5</v>
      </c>
      <c r="F39" s="8">
        <v>2.0499999999999998</v>
      </c>
      <c r="G39" s="12">
        <v>2</v>
      </c>
      <c r="H39" s="8">
        <v>1.8</v>
      </c>
      <c r="I39" s="12">
        <v>0</v>
      </c>
    </row>
    <row r="40" spans="2:9" ht="15" customHeight="1" x14ac:dyDescent="0.2">
      <c r="B40" t="s">
        <v>84</v>
      </c>
      <c r="C40" s="12">
        <v>6</v>
      </c>
      <c r="D40" s="8">
        <v>1.61</v>
      </c>
      <c r="E40" s="12">
        <v>3</v>
      </c>
      <c r="F40" s="8">
        <v>1.23</v>
      </c>
      <c r="G40" s="12">
        <v>3</v>
      </c>
      <c r="H40" s="8">
        <v>2.7</v>
      </c>
      <c r="I40" s="12">
        <v>0</v>
      </c>
    </row>
    <row r="41" spans="2:9" ht="15" customHeight="1" x14ac:dyDescent="0.2">
      <c r="B41" t="s">
        <v>117</v>
      </c>
      <c r="C41" s="12">
        <v>4</v>
      </c>
      <c r="D41" s="8">
        <v>1.08</v>
      </c>
      <c r="E41" s="12">
        <v>3</v>
      </c>
      <c r="F41" s="8">
        <v>1.23</v>
      </c>
      <c r="G41" s="12">
        <v>1</v>
      </c>
      <c r="H41" s="8">
        <v>0.9</v>
      </c>
      <c r="I41" s="12">
        <v>0</v>
      </c>
    </row>
    <row r="42" spans="2:9" ht="15" customHeight="1" x14ac:dyDescent="0.2">
      <c r="B42" t="s">
        <v>95</v>
      </c>
      <c r="C42" s="12">
        <v>4</v>
      </c>
      <c r="D42" s="8">
        <v>1.08</v>
      </c>
      <c r="E42" s="12">
        <v>2</v>
      </c>
      <c r="F42" s="8">
        <v>0.82</v>
      </c>
      <c r="G42" s="12">
        <v>2</v>
      </c>
      <c r="H42" s="8">
        <v>1.8</v>
      </c>
      <c r="I42" s="12">
        <v>0</v>
      </c>
    </row>
    <row r="43" spans="2:9" ht="15" customHeight="1" x14ac:dyDescent="0.2">
      <c r="B43" t="s">
        <v>79</v>
      </c>
      <c r="C43" s="12">
        <v>4</v>
      </c>
      <c r="D43" s="8">
        <v>1.08</v>
      </c>
      <c r="E43" s="12">
        <v>1</v>
      </c>
      <c r="F43" s="8">
        <v>0.41</v>
      </c>
      <c r="G43" s="12">
        <v>3</v>
      </c>
      <c r="H43" s="8">
        <v>2.7</v>
      </c>
      <c r="I43" s="12">
        <v>0</v>
      </c>
    </row>
    <row r="44" spans="2:9" ht="15" customHeight="1" x14ac:dyDescent="0.2">
      <c r="B44" t="s">
        <v>86</v>
      </c>
      <c r="C44" s="12">
        <v>4</v>
      </c>
      <c r="D44" s="8">
        <v>1.08</v>
      </c>
      <c r="E44" s="12">
        <v>4</v>
      </c>
      <c r="F44" s="8">
        <v>1.64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138</v>
      </c>
      <c r="C48" s="12">
        <v>16</v>
      </c>
      <c r="D48" s="8">
        <v>4.3</v>
      </c>
      <c r="E48" s="12">
        <v>15</v>
      </c>
      <c r="F48" s="8">
        <v>6.15</v>
      </c>
      <c r="G48" s="12">
        <v>1</v>
      </c>
      <c r="H48" s="8">
        <v>0.9</v>
      </c>
      <c r="I48" s="12">
        <v>0</v>
      </c>
    </row>
    <row r="49" spans="2:9" ht="15" customHeight="1" x14ac:dyDescent="0.2">
      <c r="B49" t="s">
        <v>122</v>
      </c>
      <c r="C49" s="12">
        <v>13</v>
      </c>
      <c r="D49" s="8">
        <v>3.49</v>
      </c>
      <c r="E49" s="12">
        <v>3</v>
      </c>
      <c r="F49" s="8">
        <v>1.23</v>
      </c>
      <c r="G49" s="12">
        <v>10</v>
      </c>
      <c r="H49" s="8">
        <v>9.01</v>
      </c>
      <c r="I49" s="12">
        <v>0</v>
      </c>
    </row>
    <row r="50" spans="2:9" ht="15" customHeight="1" x14ac:dyDescent="0.2">
      <c r="B50" t="s">
        <v>142</v>
      </c>
      <c r="C50" s="12">
        <v>13</v>
      </c>
      <c r="D50" s="8">
        <v>3.49</v>
      </c>
      <c r="E50" s="12">
        <v>13</v>
      </c>
      <c r="F50" s="8">
        <v>5.33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136</v>
      </c>
      <c r="C51" s="12">
        <v>13</v>
      </c>
      <c r="D51" s="8">
        <v>3.49</v>
      </c>
      <c r="E51" s="12">
        <v>13</v>
      </c>
      <c r="F51" s="8">
        <v>5.33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129</v>
      </c>
      <c r="C52" s="12">
        <v>12</v>
      </c>
      <c r="D52" s="8">
        <v>3.23</v>
      </c>
      <c r="E52" s="12">
        <v>11</v>
      </c>
      <c r="F52" s="8">
        <v>4.51</v>
      </c>
      <c r="G52" s="12">
        <v>1</v>
      </c>
      <c r="H52" s="8">
        <v>0.9</v>
      </c>
      <c r="I52" s="12">
        <v>0</v>
      </c>
    </row>
    <row r="53" spans="2:9" ht="15" customHeight="1" x14ac:dyDescent="0.2">
      <c r="B53" t="s">
        <v>132</v>
      </c>
      <c r="C53" s="12">
        <v>12</v>
      </c>
      <c r="D53" s="8">
        <v>3.23</v>
      </c>
      <c r="E53" s="12">
        <v>11</v>
      </c>
      <c r="F53" s="8">
        <v>4.51</v>
      </c>
      <c r="G53" s="12">
        <v>1</v>
      </c>
      <c r="H53" s="8">
        <v>0.9</v>
      </c>
      <c r="I53" s="12">
        <v>0</v>
      </c>
    </row>
    <row r="54" spans="2:9" ht="15" customHeight="1" x14ac:dyDescent="0.2">
      <c r="B54" t="s">
        <v>137</v>
      </c>
      <c r="C54" s="12">
        <v>12</v>
      </c>
      <c r="D54" s="8">
        <v>3.23</v>
      </c>
      <c r="E54" s="12">
        <v>12</v>
      </c>
      <c r="F54" s="8">
        <v>4.92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208</v>
      </c>
      <c r="C55" s="12">
        <v>11</v>
      </c>
      <c r="D55" s="8">
        <v>2.96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124</v>
      </c>
      <c r="C56" s="12">
        <v>10</v>
      </c>
      <c r="D56" s="8">
        <v>2.69</v>
      </c>
      <c r="E56" s="12">
        <v>6</v>
      </c>
      <c r="F56" s="8">
        <v>2.46</v>
      </c>
      <c r="G56" s="12">
        <v>4</v>
      </c>
      <c r="H56" s="8">
        <v>3.6</v>
      </c>
      <c r="I56" s="12">
        <v>0</v>
      </c>
    </row>
    <row r="57" spans="2:9" ht="15" customHeight="1" x14ac:dyDescent="0.2">
      <c r="B57" t="s">
        <v>139</v>
      </c>
      <c r="C57" s="12">
        <v>9</v>
      </c>
      <c r="D57" s="8">
        <v>2.42</v>
      </c>
      <c r="E57" s="12">
        <v>8</v>
      </c>
      <c r="F57" s="8">
        <v>3.28</v>
      </c>
      <c r="G57" s="12">
        <v>1</v>
      </c>
      <c r="H57" s="8">
        <v>0.9</v>
      </c>
      <c r="I57" s="12">
        <v>0</v>
      </c>
    </row>
    <row r="58" spans="2:9" ht="15" customHeight="1" x14ac:dyDescent="0.2">
      <c r="B58" t="s">
        <v>123</v>
      </c>
      <c r="C58" s="12">
        <v>8</v>
      </c>
      <c r="D58" s="8">
        <v>2.15</v>
      </c>
      <c r="E58" s="12">
        <v>4</v>
      </c>
      <c r="F58" s="8">
        <v>1.64</v>
      </c>
      <c r="G58" s="12">
        <v>4</v>
      </c>
      <c r="H58" s="8">
        <v>3.6</v>
      </c>
      <c r="I58" s="12">
        <v>0</v>
      </c>
    </row>
    <row r="59" spans="2:9" ht="15" customHeight="1" x14ac:dyDescent="0.2">
      <c r="B59" t="s">
        <v>141</v>
      </c>
      <c r="C59" s="12">
        <v>8</v>
      </c>
      <c r="D59" s="8">
        <v>2.15</v>
      </c>
      <c r="E59" s="12">
        <v>8</v>
      </c>
      <c r="F59" s="8">
        <v>3.28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169</v>
      </c>
      <c r="C60" s="12">
        <v>7</v>
      </c>
      <c r="D60" s="8">
        <v>1.88</v>
      </c>
      <c r="E60" s="12">
        <v>7</v>
      </c>
      <c r="F60" s="8">
        <v>2.87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159</v>
      </c>
      <c r="C61" s="12">
        <v>7</v>
      </c>
      <c r="D61" s="8">
        <v>1.88</v>
      </c>
      <c r="E61" s="12">
        <v>4</v>
      </c>
      <c r="F61" s="8">
        <v>1.64</v>
      </c>
      <c r="G61" s="12">
        <v>3</v>
      </c>
      <c r="H61" s="8">
        <v>2.7</v>
      </c>
      <c r="I61" s="12">
        <v>0</v>
      </c>
    </row>
    <row r="62" spans="2:9" ht="15" customHeight="1" x14ac:dyDescent="0.2">
      <c r="B62" t="s">
        <v>154</v>
      </c>
      <c r="C62" s="12">
        <v>7</v>
      </c>
      <c r="D62" s="8">
        <v>1.88</v>
      </c>
      <c r="E62" s="12">
        <v>6</v>
      </c>
      <c r="F62" s="8">
        <v>2.46</v>
      </c>
      <c r="G62" s="12">
        <v>1</v>
      </c>
      <c r="H62" s="8">
        <v>0.9</v>
      </c>
      <c r="I62" s="12">
        <v>0</v>
      </c>
    </row>
    <row r="63" spans="2:9" ht="15" customHeight="1" x14ac:dyDescent="0.2">
      <c r="B63" t="s">
        <v>126</v>
      </c>
      <c r="C63" s="12">
        <v>7</v>
      </c>
      <c r="D63" s="8">
        <v>1.88</v>
      </c>
      <c r="E63" s="12">
        <v>4</v>
      </c>
      <c r="F63" s="8">
        <v>1.64</v>
      </c>
      <c r="G63" s="12">
        <v>2</v>
      </c>
      <c r="H63" s="8">
        <v>1.8</v>
      </c>
      <c r="I63" s="12">
        <v>1</v>
      </c>
    </row>
    <row r="64" spans="2:9" ht="15" customHeight="1" x14ac:dyDescent="0.2">
      <c r="B64" t="s">
        <v>140</v>
      </c>
      <c r="C64" s="12">
        <v>7</v>
      </c>
      <c r="D64" s="8">
        <v>1.88</v>
      </c>
      <c r="E64" s="12">
        <v>7</v>
      </c>
      <c r="F64" s="8">
        <v>2.87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127</v>
      </c>
      <c r="C65" s="12">
        <v>6</v>
      </c>
      <c r="D65" s="8">
        <v>1.61</v>
      </c>
      <c r="E65" s="12">
        <v>4</v>
      </c>
      <c r="F65" s="8">
        <v>1.64</v>
      </c>
      <c r="G65" s="12">
        <v>2</v>
      </c>
      <c r="H65" s="8">
        <v>1.8</v>
      </c>
      <c r="I65" s="12">
        <v>0</v>
      </c>
    </row>
    <row r="66" spans="2:9" ht="15" customHeight="1" x14ac:dyDescent="0.2">
      <c r="B66" t="s">
        <v>176</v>
      </c>
      <c r="C66" s="12">
        <v>5</v>
      </c>
      <c r="D66" s="8">
        <v>1.34</v>
      </c>
      <c r="E66" s="12">
        <v>0</v>
      </c>
      <c r="F66" s="8">
        <v>0</v>
      </c>
      <c r="G66" s="12">
        <v>5</v>
      </c>
      <c r="H66" s="8">
        <v>4.5</v>
      </c>
      <c r="I66" s="12">
        <v>0</v>
      </c>
    </row>
    <row r="67" spans="2:9" ht="15" customHeight="1" x14ac:dyDescent="0.2">
      <c r="B67" t="s">
        <v>189</v>
      </c>
      <c r="C67" s="12">
        <v>5</v>
      </c>
      <c r="D67" s="8">
        <v>1.34</v>
      </c>
      <c r="E67" s="12">
        <v>4</v>
      </c>
      <c r="F67" s="8">
        <v>1.64</v>
      </c>
      <c r="G67" s="12">
        <v>1</v>
      </c>
      <c r="H67" s="8">
        <v>0.9</v>
      </c>
      <c r="I67" s="12">
        <v>0</v>
      </c>
    </row>
    <row r="68" spans="2:9" ht="15" customHeight="1" x14ac:dyDescent="0.2">
      <c r="B68" t="s">
        <v>144</v>
      </c>
      <c r="C68" s="12">
        <v>5</v>
      </c>
      <c r="D68" s="8">
        <v>1.34</v>
      </c>
      <c r="E68" s="12">
        <v>2</v>
      </c>
      <c r="F68" s="8">
        <v>0.82</v>
      </c>
      <c r="G68" s="12">
        <v>3</v>
      </c>
      <c r="H68" s="8">
        <v>2.7</v>
      </c>
      <c r="I68" s="12">
        <v>0</v>
      </c>
    </row>
    <row r="69" spans="2:9" ht="15" customHeight="1" x14ac:dyDescent="0.2">
      <c r="B69" t="s">
        <v>146</v>
      </c>
      <c r="C69" s="12">
        <v>5</v>
      </c>
      <c r="D69" s="8">
        <v>1.34</v>
      </c>
      <c r="E69" s="12">
        <v>4</v>
      </c>
      <c r="F69" s="8">
        <v>1.64</v>
      </c>
      <c r="G69" s="12">
        <v>1</v>
      </c>
      <c r="H69" s="8">
        <v>0.9</v>
      </c>
      <c r="I69" s="12">
        <v>0</v>
      </c>
    </row>
    <row r="70" spans="2:9" ht="15" customHeight="1" x14ac:dyDescent="0.2">
      <c r="B70" t="s">
        <v>206</v>
      </c>
      <c r="C70" s="12">
        <v>5</v>
      </c>
      <c r="D70" s="8">
        <v>1.34</v>
      </c>
      <c r="E70" s="12">
        <v>5</v>
      </c>
      <c r="F70" s="8">
        <v>2.0499999999999998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202</v>
      </c>
      <c r="C71" s="12">
        <v>5</v>
      </c>
      <c r="D71" s="8">
        <v>1.34</v>
      </c>
      <c r="E71" s="12">
        <v>4</v>
      </c>
      <c r="F71" s="8">
        <v>1.64</v>
      </c>
      <c r="G71" s="12">
        <v>1</v>
      </c>
      <c r="H71" s="8">
        <v>0.9</v>
      </c>
      <c r="I71" s="12">
        <v>0</v>
      </c>
    </row>
    <row r="73" spans="2:9" ht="15" customHeight="1" x14ac:dyDescent="0.2">
      <c r="B73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7649-3946-4099-8CC2-A9A056DE41E0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266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123</v>
      </c>
      <c r="D6" s="8">
        <v>21.5</v>
      </c>
      <c r="E6" s="12">
        <v>70</v>
      </c>
      <c r="F6" s="8">
        <v>18.09</v>
      </c>
      <c r="G6" s="12">
        <v>53</v>
      </c>
      <c r="H6" s="8">
        <v>30.29</v>
      </c>
      <c r="I6" s="12">
        <v>0</v>
      </c>
    </row>
    <row r="7" spans="2:9" ht="15" customHeight="1" x14ac:dyDescent="0.2">
      <c r="B7" t="s">
        <v>53</v>
      </c>
      <c r="C7" s="12">
        <v>56</v>
      </c>
      <c r="D7" s="8">
        <v>9.7899999999999991</v>
      </c>
      <c r="E7" s="12">
        <v>30</v>
      </c>
      <c r="F7" s="8">
        <v>7.75</v>
      </c>
      <c r="G7" s="12">
        <v>26</v>
      </c>
      <c r="H7" s="8">
        <v>14.86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3</v>
      </c>
      <c r="D9" s="8">
        <v>0.52</v>
      </c>
      <c r="E9" s="12">
        <v>0</v>
      </c>
      <c r="F9" s="8">
        <v>0</v>
      </c>
      <c r="G9" s="12">
        <v>3</v>
      </c>
      <c r="H9" s="8">
        <v>1.71</v>
      </c>
      <c r="I9" s="12">
        <v>0</v>
      </c>
    </row>
    <row r="10" spans="2:9" ht="15" customHeight="1" x14ac:dyDescent="0.2">
      <c r="B10" t="s">
        <v>56</v>
      </c>
      <c r="C10" s="12">
        <v>7</v>
      </c>
      <c r="D10" s="8">
        <v>1.22</v>
      </c>
      <c r="E10" s="12">
        <v>3</v>
      </c>
      <c r="F10" s="8">
        <v>0.78</v>
      </c>
      <c r="G10" s="12">
        <v>4</v>
      </c>
      <c r="H10" s="8">
        <v>2.29</v>
      </c>
      <c r="I10" s="12">
        <v>0</v>
      </c>
    </row>
    <row r="11" spans="2:9" ht="15" customHeight="1" x14ac:dyDescent="0.2">
      <c r="B11" t="s">
        <v>57</v>
      </c>
      <c r="C11" s="12">
        <v>150</v>
      </c>
      <c r="D11" s="8">
        <v>26.22</v>
      </c>
      <c r="E11" s="12">
        <v>108</v>
      </c>
      <c r="F11" s="8">
        <v>27.91</v>
      </c>
      <c r="G11" s="12">
        <v>42</v>
      </c>
      <c r="H11" s="8">
        <v>24</v>
      </c>
      <c r="I11" s="12">
        <v>0</v>
      </c>
    </row>
    <row r="12" spans="2:9" ht="15" customHeight="1" x14ac:dyDescent="0.2">
      <c r="B12" t="s">
        <v>58</v>
      </c>
      <c r="C12" s="12">
        <v>8</v>
      </c>
      <c r="D12" s="8">
        <v>1.4</v>
      </c>
      <c r="E12" s="12">
        <v>6</v>
      </c>
      <c r="F12" s="8">
        <v>1.55</v>
      </c>
      <c r="G12" s="12">
        <v>2</v>
      </c>
      <c r="H12" s="8">
        <v>1.1399999999999999</v>
      </c>
      <c r="I12" s="12">
        <v>0</v>
      </c>
    </row>
    <row r="13" spans="2:9" ht="15" customHeight="1" x14ac:dyDescent="0.2">
      <c r="B13" t="s">
        <v>59</v>
      </c>
      <c r="C13" s="12">
        <v>11</v>
      </c>
      <c r="D13" s="8">
        <v>1.92</v>
      </c>
      <c r="E13" s="12">
        <v>3</v>
      </c>
      <c r="F13" s="8">
        <v>0.78</v>
      </c>
      <c r="G13" s="12">
        <v>8</v>
      </c>
      <c r="H13" s="8">
        <v>4.57</v>
      </c>
      <c r="I13" s="12">
        <v>0</v>
      </c>
    </row>
    <row r="14" spans="2:9" ht="15" customHeight="1" x14ac:dyDescent="0.2">
      <c r="B14" t="s">
        <v>60</v>
      </c>
      <c r="C14" s="12">
        <v>26</v>
      </c>
      <c r="D14" s="8">
        <v>4.55</v>
      </c>
      <c r="E14" s="12">
        <v>15</v>
      </c>
      <c r="F14" s="8">
        <v>3.88</v>
      </c>
      <c r="G14" s="12">
        <v>10</v>
      </c>
      <c r="H14" s="8">
        <v>5.71</v>
      </c>
      <c r="I14" s="12">
        <v>0</v>
      </c>
    </row>
    <row r="15" spans="2:9" ht="15" customHeight="1" x14ac:dyDescent="0.2">
      <c r="B15" t="s">
        <v>61</v>
      </c>
      <c r="C15" s="12">
        <v>61</v>
      </c>
      <c r="D15" s="8">
        <v>10.66</v>
      </c>
      <c r="E15" s="12">
        <v>60</v>
      </c>
      <c r="F15" s="8">
        <v>15.5</v>
      </c>
      <c r="G15" s="12">
        <v>1</v>
      </c>
      <c r="H15" s="8">
        <v>0.56999999999999995</v>
      </c>
      <c r="I15" s="12">
        <v>0</v>
      </c>
    </row>
    <row r="16" spans="2:9" ht="15" customHeight="1" x14ac:dyDescent="0.2">
      <c r="B16" t="s">
        <v>62</v>
      </c>
      <c r="C16" s="12">
        <v>65</v>
      </c>
      <c r="D16" s="8">
        <v>11.36</v>
      </c>
      <c r="E16" s="12">
        <v>58</v>
      </c>
      <c r="F16" s="8">
        <v>14.99</v>
      </c>
      <c r="G16" s="12">
        <v>4</v>
      </c>
      <c r="H16" s="8">
        <v>2.29</v>
      </c>
      <c r="I16" s="12">
        <v>0</v>
      </c>
    </row>
    <row r="17" spans="2:9" ht="15" customHeight="1" x14ac:dyDescent="0.2">
      <c r="B17" t="s">
        <v>63</v>
      </c>
      <c r="C17" s="12">
        <v>15</v>
      </c>
      <c r="D17" s="8">
        <v>2.62</v>
      </c>
      <c r="E17" s="12">
        <v>11</v>
      </c>
      <c r="F17" s="8">
        <v>2.84</v>
      </c>
      <c r="G17" s="12">
        <v>3</v>
      </c>
      <c r="H17" s="8">
        <v>1.71</v>
      </c>
      <c r="I17" s="12">
        <v>0</v>
      </c>
    </row>
    <row r="18" spans="2:9" ht="15" customHeight="1" x14ac:dyDescent="0.2">
      <c r="B18" t="s">
        <v>64</v>
      </c>
      <c r="C18" s="12">
        <v>23</v>
      </c>
      <c r="D18" s="8">
        <v>4.0199999999999996</v>
      </c>
      <c r="E18" s="12">
        <v>8</v>
      </c>
      <c r="F18" s="8">
        <v>2.0699999999999998</v>
      </c>
      <c r="G18" s="12">
        <v>12</v>
      </c>
      <c r="H18" s="8">
        <v>6.86</v>
      </c>
      <c r="I18" s="12">
        <v>0</v>
      </c>
    </row>
    <row r="19" spans="2:9" ht="15" customHeight="1" x14ac:dyDescent="0.2">
      <c r="B19" t="s">
        <v>65</v>
      </c>
      <c r="C19" s="12">
        <v>24</v>
      </c>
      <c r="D19" s="8">
        <v>4.2</v>
      </c>
      <c r="E19" s="12">
        <v>15</v>
      </c>
      <c r="F19" s="8">
        <v>3.88</v>
      </c>
      <c r="G19" s="12">
        <v>7</v>
      </c>
      <c r="H19" s="8">
        <v>4</v>
      </c>
      <c r="I19" s="12">
        <v>0</v>
      </c>
    </row>
    <row r="20" spans="2:9" ht="15" customHeight="1" x14ac:dyDescent="0.2">
      <c r="B20" s="9" t="s">
        <v>215</v>
      </c>
      <c r="C20" s="12">
        <f>SUM(LTBL_28501[総数／事業所数])</f>
        <v>572</v>
      </c>
      <c r="E20" s="12">
        <f>SUBTOTAL(109,LTBL_28501[個人／事業所数])</f>
        <v>387</v>
      </c>
      <c r="G20" s="12">
        <f>SUBTOTAL(109,LTBL_28501[法人／事業所数])</f>
        <v>175</v>
      </c>
      <c r="I20" s="12">
        <f>SUBTOTAL(109,LTBL_28501[法人以外の団体／事業所数])</f>
        <v>0</v>
      </c>
    </row>
    <row r="21" spans="2:9" ht="15" customHeight="1" x14ac:dyDescent="0.2">
      <c r="E21" s="11">
        <f>LTBL_28501[[#Totals],[個人／事業所数]]/LTBL_28501[[#Totals],[総数／事業所数]]</f>
        <v>0.67657342657342656</v>
      </c>
      <c r="G21" s="11">
        <f>LTBL_28501[[#Totals],[法人／事業所数]]/LTBL_28501[[#Totals],[総数／事業所数]]</f>
        <v>0.30594405594405594</v>
      </c>
      <c r="I21" s="11">
        <f>LTBL_28501[[#Totals],[法人以外の団体／事業所数]]/LTBL_28501[[#Totals],[総数／事業所数]]</f>
        <v>0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74</v>
      </c>
      <c r="C24" s="12">
        <v>70</v>
      </c>
      <c r="D24" s="8">
        <v>12.24</v>
      </c>
      <c r="E24" s="12">
        <v>30</v>
      </c>
      <c r="F24" s="8">
        <v>7.75</v>
      </c>
      <c r="G24" s="12">
        <v>40</v>
      </c>
      <c r="H24" s="8">
        <v>22.86</v>
      </c>
      <c r="I24" s="12">
        <v>0</v>
      </c>
    </row>
    <row r="25" spans="2:9" ht="15" customHeight="1" x14ac:dyDescent="0.2">
      <c r="B25" t="s">
        <v>89</v>
      </c>
      <c r="C25" s="12">
        <v>54</v>
      </c>
      <c r="D25" s="8">
        <v>9.44</v>
      </c>
      <c r="E25" s="12">
        <v>53</v>
      </c>
      <c r="F25" s="8">
        <v>13.7</v>
      </c>
      <c r="G25" s="12">
        <v>1</v>
      </c>
      <c r="H25" s="8">
        <v>0.56999999999999995</v>
      </c>
      <c r="I25" s="12">
        <v>0</v>
      </c>
    </row>
    <row r="26" spans="2:9" ht="15" customHeight="1" x14ac:dyDescent="0.2">
      <c r="B26" t="s">
        <v>88</v>
      </c>
      <c r="C26" s="12">
        <v>49</v>
      </c>
      <c r="D26" s="8">
        <v>8.57</v>
      </c>
      <c r="E26" s="12">
        <v>49</v>
      </c>
      <c r="F26" s="8">
        <v>12.66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81</v>
      </c>
      <c r="C27" s="12">
        <v>43</v>
      </c>
      <c r="D27" s="8">
        <v>7.52</v>
      </c>
      <c r="E27" s="12">
        <v>38</v>
      </c>
      <c r="F27" s="8">
        <v>9.82</v>
      </c>
      <c r="G27" s="12">
        <v>5</v>
      </c>
      <c r="H27" s="8">
        <v>2.86</v>
      </c>
      <c r="I27" s="12">
        <v>0</v>
      </c>
    </row>
    <row r="28" spans="2:9" ht="15" customHeight="1" x14ac:dyDescent="0.2">
      <c r="B28" t="s">
        <v>83</v>
      </c>
      <c r="C28" s="12">
        <v>36</v>
      </c>
      <c r="D28" s="8">
        <v>6.29</v>
      </c>
      <c r="E28" s="12">
        <v>19</v>
      </c>
      <c r="F28" s="8">
        <v>4.91</v>
      </c>
      <c r="G28" s="12">
        <v>17</v>
      </c>
      <c r="H28" s="8">
        <v>9.7100000000000009</v>
      </c>
      <c r="I28" s="12">
        <v>0</v>
      </c>
    </row>
    <row r="29" spans="2:9" ht="15" customHeight="1" x14ac:dyDescent="0.2">
      <c r="B29" t="s">
        <v>75</v>
      </c>
      <c r="C29" s="12">
        <v>28</v>
      </c>
      <c r="D29" s="8">
        <v>4.9000000000000004</v>
      </c>
      <c r="E29" s="12">
        <v>23</v>
      </c>
      <c r="F29" s="8">
        <v>5.94</v>
      </c>
      <c r="G29" s="12">
        <v>5</v>
      </c>
      <c r="H29" s="8">
        <v>2.86</v>
      </c>
      <c r="I29" s="12">
        <v>0</v>
      </c>
    </row>
    <row r="30" spans="2:9" ht="15" customHeight="1" x14ac:dyDescent="0.2">
      <c r="B30" t="s">
        <v>82</v>
      </c>
      <c r="C30" s="12">
        <v>27</v>
      </c>
      <c r="D30" s="8">
        <v>4.72</v>
      </c>
      <c r="E30" s="12">
        <v>21</v>
      </c>
      <c r="F30" s="8">
        <v>5.43</v>
      </c>
      <c r="G30" s="12">
        <v>6</v>
      </c>
      <c r="H30" s="8">
        <v>3.43</v>
      </c>
      <c r="I30" s="12">
        <v>0</v>
      </c>
    </row>
    <row r="31" spans="2:9" ht="15" customHeight="1" x14ac:dyDescent="0.2">
      <c r="B31" t="s">
        <v>76</v>
      </c>
      <c r="C31" s="12">
        <v>25</v>
      </c>
      <c r="D31" s="8">
        <v>4.37</v>
      </c>
      <c r="E31" s="12">
        <v>17</v>
      </c>
      <c r="F31" s="8">
        <v>4.3899999999999997</v>
      </c>
      <c r="G31" s="12">
        <v>8</v>
      </c>
      <c r="H31" s="8">
        <v>4.57</v>
      </c>
      <c r="I31" s="12">
        <v>0</v>
      </c>
    </row>
    <row r="32" spans="2:9" ht="15" customHeight="1" x14ac:dyDescent="0.2">
      <c r="B32" t="s">
        <v>108</v>
      </c>
      <c r="C32" s="12">
        <v>17</v>
      </c>
      <c r="D32" s="8">
        <v>2.97</v>
      </c>
      <c r="E32" s="12">
        <v>10</v>
      </c>
      <c r="F32" s="8">
        <v>2.58</v>
      </c>
      <c r="G32" s="12">
        <v>7</v>
      </c>
      <c r="H32" s="8">
        <v>4</v>
      </c>
      <c r="I32" s="12">
        <v>0</v>
      </c>
    </row>
    <row r="33" spans="2:9" ht="15" customHeight="1" x14ac:dyDescent="0.2">
      <c r="B33" t="s">
        <v>87</v>
      </c>
      <c r="C33" s="12">
        <v>16</v>
      </c>
      <c r="D33" s="8">
        <v>2.8</v>
      </c>
      <c r="E33" s="12">
        <v>8</v>
      </c>
      <c r="F33" s="8">
        <v>2.0699999999999998</v>
      </c>
      <c r="G33" s="12">
        <v>8</v>
      </c>
      <c r="H33" s="8">
        <v>4.57</v>
      </c>
      <c r="I33" s="12">
        <v>0</v>
      </c>
    </row>
    <row r="34" spans="2:9" ht="15" customHeight="1" x14ac:dyDescent="0.2">
      <c r="B34" t="s">
        <v>91</v>
      </c>
      <c r="C34" s="12">
        <v>15</v>
      </c>
      <c r="D34" s="8">
        <v>2.62</v>
      </c>
      <c r="E34" s="12">
        <v>11</v>
      </c>
      <c r="F34" s="8">
        <v>2.84</v>
      </c>
      <c r="G34" s="12">
        <v>3</v>
      </c>
      <c r="H34" s="8">
        <v>1.71</v>
      </c>
      <c r="I34" s="12">
        <v>0</v>
      </c>
    </row>
    <row r="35" spans="2:9" ht="15" customHeight="1" x14ac:dyDescent="0.2">
      <c r="B35" t="s">
        <v>104</v>
      </c>
      <c r="C35" s="12">
        <v>15</v>
      </c>
      <c r="D35" s="8">
        <v>2.62</v>
      </c>
      <c r="E35" s="12">
        <v>13</v>
      </c>
      <c r="F35" s="8">
        <v>3.36</v>
      </c>
      <c r="G35" s="12">
        <v>2</v>
      </c>
      <c r="H35" s="8">
        <v>1.1399999999999999</v>
      </c>
      <c r="I35" s="12">
        <v>0</v>
      </c>
    </row>
    <row r="36" spans="2:9" ht="15" customHeight="1" x14ac:dyDescent="0.2">
      <c r="B36" t="s">
        <v>93</v>
      </c>
      <c r="C36" s="12">
        <v>14</v>
      </c>
      <c r="D36" s="8">
        <v>2.4500000000000002</v>
      </c>
      <c r="E36" s="12">
        <v>0</v>
      </c>
      <c r="F36" s="8">
        <v>0</v>
      </c>
      <c r="G36" s="12">
        <v>11</v>
      </c>
      <c r="H36" s="8">
        <v>6.29</v>
      </c>
      <c r="I36" s="12">
        <v>0</v>
      </c>
    </row>
    <row r="37" spans="2:9" ht="15" customHeight="1" x14ac:dyDescent="0.2">
      <c r="B37" t="s">
        <v>80</v>
      </c>
      <c r="C37" s="12">
        <v>12</v>
      </c>
      <c r="D37" s="8">
        <v>2.1</v>
      </c>
      <c r="E37" s="12">
        <v>8</v>
      </c>
      <c r="F37" s="8">
        <v>2.0699999999999998</v>
      </c>
      <c r="G37" s="12">
        <v>4</v>
      </c>
      <c r="H37" s="8">
        <v>2.29</v>
      </c>
      <c r="I37" s="12">
        <v>0</v>
      </c>
    </row>
    <row r="38" spans="2:9" ht="15" customHeight="1" x14ac:dyDescent="0.2">
      <c r="B38" t="s">
        <v>101</v>
      </c>
      <c r="C38" s="12">
        <v>10</v>
      </c>
      <c r="D38" s="8">
        <v>1.75</v>
      </c>
      <c r="E38" s="12">
        <v>8</v>
      </c>
      <c r="F38" s="8">
        <v>2.0699999999999998</v>
      </c>
      <c r="G38" s="12">
        <v>2</v>
      </c>
      <c r="H38" s="8">
        <v>1.1399999999999999</v>
      </c>
      <c r="I38" s="12">
        <v>0</v>
      </c>
    </row>
    <row r="39" spans="2:9" ht="15" customHeight="1" x14ac:dyDescent="0.2">
      <c r="B39" t="s">
        <v>85</v>
      </c>
      <c r="C39" s="12">
        <v>10</v>
      </c>
      <c r="D39" s="8">
        <v>1.75</v>
      </c>
      <c r="E39" s="12">
        <v>3</v>
      </c>
      <c r="F39" s="8">
        <v>0.78</v>
      </c>
      <c r="G39" s="12">
        <v>7</v>
      </c>
      <c r="H39" s="8">
        <v>4</v>
      </c>
      <c r="I39" s="12">
        <v>0</v>
      </c>
    </row>
    <row r="40" spans="2:9" ht="15" customHeight="1" x14ac:dyDescent="0.2">
      <c r="B40" t="s">
        <v>79</v>
      </c>
      <c r="C40" s="12">
        <v>9</v>
      </c>
      <c r="D40" s="8">
        <v>1.57</v>
      </c>
      <c r="E40" s="12">
        <v>6</v>
      </c>
      <c r="F40" s="8">
        <v>1.55</v>
      </c>
      <c r="G40" s="12">
        <v>3</v>
      </c>
      <c r="H40" s="8">
        <v>1.71</v>
      </c>
      <c r="I40" s="12">
        <v>0</v>
      </c>
    </row>
    <row r="41" spans="2:9" ht="15" customHeight="1" x14ac:dyDescent="0.2">
      <c r="B41" t="s">
        <v>92</v>
      </c>
      <c r="C41" s="12">
        <v>9</v>
      </c>
      <c r="D41" s="8">
        <v>1.57</v>
      </c>
      <c r="E41" s="12">
        <v>8</v>
      </c>
      <c r="F41" s="8">
        <v>2.0699999999999998</v>
      </c>
      <c r="G41" s="12">
        <v>1</v>
      </c>
      <c r="H41" s="8">
        <v>0.56999999999999995</v>
      </c>
      <c r="I41" s="12">
        <v>0</v>
      </c>
    </row>
    <row r="42" spans="2:9" ht="15" customHeight="1" x14ac:dyDescent="0.2">
      <c r="B42" t="s">
        <v>102</v>
      </c>
      <c r="C42" s="12">
        <v>8</v>
      </c>
      <c r="D42" s="8">
        <v>1.4</v>
      </c>
      <c r="E42" s="12">
        <v>6</v>
      </c>
      <c r="F42" s="8">
        <v>1.55</v>
      </c>
      <c r="G42" s="12">
        <v>2</v>
      </c>
      <c r="H42" s="8">
        <v>1.1399999999999999</v>
      </c>
      <c r="I42" s="12">
        <v>0</v>
      </c>
    </row>
    <row r="43" spans="2:9" ht="15" customHeight="1" x14ac:dyDescent="0.2">
      <c r="B43" t="s">
        <v>86</v>
      </c>
      <c r="C43" s="12">
        <v>8</v>
      </c>
      <c r="D43" s="8">
        <v>1.4</v>
      </c>
      <c r="E43" s="12">
        <v>7</v>
      </c>
      <c r="F43" s="8">
        <v>1.81</v>
      </c>
      <c r="G43" s="12">
        <v>1</v>
      </c>
      <c r="H43" s="8">
        <v>0.56999999999999995</v>
      </c>
      <c r="I43" s="12">
        <v>0</v>
      </c>
    </row>
    <row r="44" spans="2:9" ht="15" customHeight="1" x14ac:dyDescent="0.2">
      <c r="B44" t="s">
        <v>105</v>
      </c>
      <c r="C44" s="12">
        <v>8</v>
      </c>
      <c r="D44" s="8">
        <v>1.4</v>
      </c>
      <c r="E44" s="12">
        <v>8</v>
      </c>
      <c r="F44" s="8">
        <v>2.0699999999999998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122</v>
      </c>
      <c r="C48" s="12">
        <v>37</v>
      </c>
      <c r="D48" s="8">
        <v>6.47</v>
      </c>
      <c r="E48" s="12">
        <v>8</v>
      </c>
      <c r="F48" s="8">
        <v>2.0699999999999998</v>
      </c>
      <c r="G48" s="12">
        <v>29</v>
      </c>
      <c r="H48" s="8">
        <v>16.57</v>
      </c>
      <c r="I48" s="12">
        <v>0</v>
      </c>
    </row>
    <row r="49" spans="2:9" ht="15" customHeight="1" x14ac:dyDescent="0.2">
      <c r="B49" t="s">
        <v>138</v>
      </c>
      <c r="C49" s="12">
        <v>26</v>
      </c>
      <c r="D49" s="8">
        <v>4.55</v>
      </c>
      <c r="E49" s="12">
        <v>25</v>
      </c>
      <c r="F49" s="8">
        <v>6.46</v>
      </c>
      <c r="G49" s="12">
        <v>1</v>
      </c>
      <c r="H49" s="8">
        <v>0.56999999999999995</v>
      </c>
      <c r="I49" s="12">
        <v>0</v>
      </c>
    </row>
    <row r="50" spans="2:9" ht="15" customHeight="1" x14ac:dyDescent="0.2">
      <c r="B50" t="s">
        <v>137</v>
      </c>
      <c r="C50" s="12">
        <v>20</v>
      </c>
      <c r="D50" s="8">
        <v>3.5</v>
      </c>
      <c r="E50" s="12">
        <v>20</v>
      </c>
      <c r="F50" s="8">
        <v>5.17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136</v>
      </c>
      <c r="C51" s="12">
        <v>19</v>
      </c>
      <c r="D51" s="8">
        <v>3.32</v>
      </c>
      <c r="E51" s="12">
        <v>19</v>
      </c>
      <c r="F51" s="8">
        <v>4.91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169</v>
      </c>
      <c r="C52" s="12">
        <v>18</v>
      </c>
      <c r="D52" s="8">
        <v>3.15</v>
      </c>
      <c r="E52" s="12">
        <v>15</v>
      </c>
      <c r="F52" s="8">
        <v>3.88</v>
      </c>
      <c r="G52" s="12">
        <v>3</v>
      </c>
      <c r="H52" s="8">
        <v>1.71</v>
      </c>
      <c r="I52" s="12">
        <v>0</v>
      </c>
    </row>
    <row r="53" spans="2:9" ht="15" customHeight="1" x14ac:dyDescent="0.2">
      <c r="B53" t="s">
        <v>127</v>
      </c>
      <c r="C53" s="12">
        <v>16</v>
      </c>
      <c r="D53" s="8">
        <v>2.8</v>
      </c>
      <c r="E53" s="12">
        <v>12</v>
      </c>
      <c r="F53" s="8">
        <v>3.1</v>
      </c>
      <c r="G53" s="12">
        <v>4</v>
      </c>
      <c r="H53" s="8">
        <v>2.29</v>
      </c>
      <c r="I53" s="12">
        <v>0</v>
      </c>
    </row>
    <row r="54" spans="2:9" ht="15" customHeight="1" x14ac:dyDescent="0.2">
      <c r="B54" t="s">
        <v>165</v>
      </c>
      <c r="C54" s="12">
        <v>15</v>
      </c>
      <c r="D54" s="8">
        <v>2.62</v>
      </c>
      <c r="E54" s="12">
        <v>13</v>
      </c>
      <c r="F54" s="8">
        <v>3.36</v>
      </c>
      <c r="G54" s="12">
        <v>2</v>
      </c>
      <c r="H54" s="8">
        <v>1.1399999999999999</v>
      </c>
      <c r="I54" s="12">
        <v>0</v>
      </c>
    </row>
    <row r="55" spans="2:9" ht="15" customHeight="1" x14ac:dyDescent="0.2">
      <c r="B55" t="s">
        <v>124</v>
      </c>
      <c r="C55" s="12">
        <v>14</v>
      </c>
      <c r="D55" s="8">
        <v>2.4500000000000002</v>
      </c>
      <c r="E55" s="12">
        <v>11</v>
      </c>
      <c r="F55" s="8">
        <v>2.84</v>
      </c>
      <c r="G55" s="12">
        <v>3</v>
      </c>
      <c r="H55" s="8">
        <v>1.71</v>
      </c>
      <c r="I55" s="12">
        <v>0</v>
      </c>
    </row>
    <row r="56" spans="2:9" ht="15" customHeight="1" x14ac:dyDescent="0.2">
      <c r="B56" t="s">
        <v>144</v>
      </c>
      <c r="C56" s="12">
        <v>11</v>
      </c>
      <c r="D56" s="8">
        <v>1.92</v>
      </c>
      <c r="E56" s="12">
        <v>5</v>
      </c>
      <c r="F56" s="8">
        <v>1.29</v>
      </c>
      <c r="G56" s="12">
        <v>6</v>
      </c>
      <c r="H56" s="8">
        <v>3.43</v>
      </c>
      <c r="I56" s="12">
        <v>0</v>
      </c>
    </row>
    <row r="57" spans="2:9" ht="15" customHeight="1" x14ac:dyDescent="0.2">
      <c r="B57" t="s">
        <v>123</v>
      </c>
      <c r="C57" s="12">
        <v>10</v>
      </c>
      <c r="D57" s="8">
        <v>1.75</v>
      </c>
      <c r="E57" s="12">
        <v>5</v>
      </c>
      <c r="F57" s="8">
        <v>1.29</v>
      </c>
      <c r="G57" s="12">
        <v>5</v>
      </c>
      <c r="H57" s="8">
        <v>2.86</v>
      </c>
      <c r="I57" s="12">
        <v>0</v>
      </c>
    </row>
    <row r="58" spans="2:9" ht="15" customHeight="1" x14ac:dyDescent="0.2">
      <c r="B58" t="s">
        <v>191</v>
      </c>
      <c r="C58" s="12">
        <v>10</v>
      </c>
      <c r="D58" s="8">
        <v>1.75</v>
      </c>
      <c r="E58" s="12">
        <v>5</v>
      </c>
      <c r="F58" s="8">
        <v>1.29</v>
      </c>
      <c r="G58" s="12">
        <v>5</v>
      </c>
      <c r="H58" s="8">
        <v>2.86</v>
      </c>
      <c r="I58" s="12">
        <v>0</v>
      </c>
    </row>
    <row r="59" spans="2:9" ht="15" customHeight="1" x14ac:dyDescent="0.2">
      <c r="B59" t="s">
        <v>154</v>
      </c>
      <c r="C59" s="12">
        <v>10</v>
      </c>
      <c r="D59" s="8">
        <v>1.75</v>
      </c>
      <c r="E59" s="12">
        <v>8</v>
      </c>
      <c r="F59" s="8">
        <v>2.0699999999999998</v>
      </c>
      <c r="G59" s="12">
        <v>2</v>
      </c>
      <c r="H59" s="8">
        <v>1.1399999999999999</v>
      </c>
      <c r="I59" s="12">
        <v>0</v>
      </c>
    </row>
    <row r="60" spans="2:9" ht="15" customHeight="1" x14ac:dyDescent="0.2">
      <c r="B60" t="s">
        <v>126</v>
      </c>
      <c r="C60" s="12">
        <v>10</v>
      </c>
      <c r="D60" s="8">
        <v>1.75</v>
      </c>
      <c r="E60" s="12">
        <v>9</v>
      </c>
      <c r="F60" s="8">
        <v>2.33</v>
      </c>
      <c r="G60" s="12">
        <v>1</v>
      </c>
      <c r="H60" s="8">
        <v>0.56999999999999995</v>
      </c>
      <c r="I60" s="12">
        <v>0</v>
      </c>
    </row>
    <row r="61" spans="2:9" ht="15" customHeight="1" x14ac:dyDescent="0.2">
      <c r="B61" t="s">
        <v>133</v>
      </c>
      <c r="C61" s="12">
        <v>10</v>
      </c>
      <c r="D61" s="8">
        <v>1.75</v>
      </c>
      <c r="E61" s="12">
        <v>10</v>
      </c>
      <c r="F61" s="8">
        <v>2.58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159</v>
      </c>
      <c r="C62" s="12">
        <v>9</v>
      </c>
      <c r="D62" s="8">
        <v>1.57</v>
      </c>
      <c r="E62" s="12">
        <v>6</v>
      </c>
      <c r="F62" s="8">
        <v>1.55</v>
      </c>
      <c r="G62" s="12">
        <v>3</v>
      </c>
      <c r="H62" s="8">
        <v>1.71</v>
      </c>
      <c r="I62" s="12">
        <v>0</v>
      </c>
    </row>
    <row r="63" spans="2:9" ht="15" customHeight="1" x14ac:dyDescent="0.2">
      <c r="B63" t="s">
        <v>151</v>
      </c>
      <c r="C63" s="12">
        <v>9</v>
      </c>
      <c r="D63" s="8">
        <v>1.57</v>
      </c>
      <c r="E63" s="12">
        <v>9</v>
      </c>
      <c r="F63" s="8">
        <v>2.33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128</v>
      </c>
      <c r="C64" s="12">
        <v>8</v>
      </c>
      <c r="D64" s="8">
        <v>1.4</v>
      </c>
      <c r="E64" s="12">
        <v>5</v>
      </c>
      <c r="F64" s="8">
        <v>1.29</v>
      </c>
      <c r="G64" s="12">
        <v>3</v>
      </c>
      <c r="H64" s="8">
        <v>1.71</v>
      </c>
      <c r="I64" s="12">
        <v>0</v>
      </c>
    </row>
    <row r="65" spans="2:9" ht="15" customHeight="1" x14ac:dyDescent="0.2">
      <c r="B65" t="s">
        <v>129</v>
      </c>
      <c r="C65" s="12">
        <v>8</v>
      </c>
      <c r="D65" s="8">
        <v>1.4</v>
      </c>
      <c r="E65" s="12">
        <v>5</v>
      </c>
      <c r="F65" s="8">
        <v>1.29</v>
      </c>
      <c r="G65" s="12">
        <v>3</v>
      </c>
      <c r="H65" s="8">
        <v>1.71</v>
      </c>
      <c r="I65" s="12">
        <v>0</v>
      </c>
    </row>
    <row r="66" spans="2:9" ht="15" customHeight="1" x14ac:dyDescent="0.2">
      <c r="B66" t="s">
        <v>132</v>
      </c>
      <c r="C66" s="12">
        <v>8</v>
      </c>
      <c r="D66" s="8">
        <v>1.4</v>
      </c>
      <c r="E66" s="12">
        <v>3</v>
      </c>
      <c r="F66" s="8">
        <v>0.78</v>
      </c>
      <c r="G66" s="12">
        <v>5</v>
      </c>
      <c r="H66" s="8">
        <v>2.86</v>
      </c>
      <c r="I66" s="12">
        <v>0</v>
      </c>
    </row>
    <row r="67" spans="2:9" ht="15" customHeight="1" x14ac:dyDescent="0.2">
      <c r="B67" t="s">
        <v>196</v>
      </c>
      <c r="C67" s="12">
        <v>8</v>
      </c>
      <c r="D67" s="8">
        <v>1.4</v>
      </c>
      <c r="E67" s="12">
        <v>8</v>
      </c>
      <c r="F67" s="8">
        <v>2.0699999999999998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140</v>
      </c>
      <c r="C68" s="12">
        <v>8</v>
      </c>
      <c r="D68" s="8">
        <v>1.4</v>
      </c>
      <c r="E68" s="12">
        <v>6</v>
      </c>
      <c r="F68" s="8">
        <v>1.55</v>
      </c>
      <c r="G68" s="12">
        <v>2</v>
      </c>
      <c r="H68" s="8">
        <v>1.1399999999999999</v>
      </c>
      <c r="I68" s="12">
        <v>0</v>
      </c>
    </row>
    <row r="70" spans="2:9" ht="15" customHeight="1" x14ac:dyDescent="0.2">
      <c r="B70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D387-800E-4DD6-8D22-ED973AE518DF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267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1</v>
      </c>
      <c r="D5" s="8">
        <v>0.14000000000000001</v>
      </c>
      <c r="E5" s="12">
        <v>0</v>
      </c>
      <c r="F5" s="8">
        <v>0</v>
      </c>
      <c r="G5" s="12">
        <v>1</v>
      </c>
      <c r="H5" s="8">
        <v>0.61</v>
      </c>
      <c r="I5" s="12">
        <v>0</v>
      </c>
    </row>
    <row r="6" spans="2:9" ht="15" customHeight="1" x14ac:dyDescent="0.2">
      <c r="B6" t="s">
        <v>52</v>
      </c>
      <c r="C6" s="12">
        <v>118</v>
      </c>
      <c r="D6" s="8">
        <v>16.010000000000002</v>
      </c>
      <c r="E6" s="12">
        <v>95</v>
      </c>
      <c r="F6" s="8">
        <v>17.82</v>
      </c>
      <c r="G6" s="12">
        <v>23</v>
      </c>
      <c r="H6" s="8">
        <v>14.02</v>
      </c>
      <c r="I6" s="12">
        <v>0</v>
      </c>
    </row>
    <row r="7" spans="2:9" ht="15" customHeight="1" x14ac:dyDescent="0.2">
      <c r="B7" t="s">
        <v>53</v>
      </c>
      <c r="C7" s="12">
        <v>84</v>
      </c>
      <c r="D7" s="8">
        <v>11.4</v>
      </c>
      <c r="E7" s="12">
        <v>37</v>
      </c>
      <c r="F7" s="8">
        <v>6.94</v>
      </c>
      <c r="G7" s="12">
        <v>46</v>
      </c>
      <c r="H7" s="8">
        <v>28.05</v>
      </c>
      <c r="I7" s="12">
        <v>1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3</v>
      </c>
      <c r="D9" s="8">
        <v>0.41</v>
      </c>
      <c r="E9" s="12">
        <v>1</v>
      </c>
      <c r="F9" s="8">
        <v>0.19</v>
      </c>
      <c r="G9" s="12">
        <v>2</v>
      </c>
      <c r="H9" s="8">
        <v>1.22</v>
      </c>
      <c r="I9" s="12">
        <v>0</v>
      </c>
    </row>
    <row r="10" spans="2:9" ht="15" customHeight="1" x14ac:dyDescent="0.2">
      <c r="B10" t="s">
        <v>56</v>
      </c>
      <c r="C10" s="12">
        <v>8</v>
      </c>
      <c r="D10" s="8">
        <v>1.0900000000000001</v>
      </c>
      <c r="E10" s="12">
        <v>1</v>
      </c>
      <c r="F10" s="8">
        <v>0.19</v>
      </c>
      <c r="G10" s="12">
        <v>4</v>
      </c>
      <c r="H10" s="8">
        <v>2.44</v>
      </c>
      <c r="I10" s="12">
        <v>3</v>
      </c>
    </row>
    <row r="11" spans="2:9" ht="15" customHeight="1" x14ac:dyDescent="0.2">
      <c r="B11" t="s">
        <v>57</v>
      </c>
      <c r="C11" s="12">
        <v>187</v>
      </c>
      <c r="D11" s="8">
        <v>25.37</v>
      </c>
      <c r="E11" s="12">
        <v>140</v>
      </c>
      <c r="F11" s="8">
        <v>26.27</v>
      </c>
      <c r="G11" s="12">
        <v>47</v>
      </c>
      <c r="H11" s="8">
        <v>28.66</v>
      </c>
      <c r="I11" s="12">
        <v>0</v>
      </c>
    </row>
    <row r="12" spans="2:9" ht="15" customHeight="1" x14ac:dyDescent="0.2">
      <c r="B12" t="s">
        <v>58</v>
      </c>
      <c r="C12" s="12">
        <v>1</v>
      </c>
      <c r="D12" s="8">
        <v>0.14000000000000001</v>
      </c>
      <c r="E12" s="12">
        <v>0</v>
      </c>
      <c r="F12" s="8">
        <v>0</v>
      </c>
      <c r="G12" s="12">
        <v>1</v>
      </c>
      <c r="H12" s="8">
        <v>0.61</v>
      </c>
      <c r="I12" s="12">
        <v>0</v>
      </c>
    </row>
    <row r="13" spans="2:9" ht="15" customHeight="1" x14ac:dyDescent="0.2">
      <c r="B13" t="s">
        <v>59</v>
      </c>
      <c r="C13" s="12">
        <v>20</v>
      </c>
      <c r="D13" s="8">
        <v>2.71</v>
      </c>
      <c r="E13" s="12">
        <v>6</v>
      </c>
      <c r="F13" s="8">
        <v>1.1299999999999999</v>
      </c>
      <c r="G13" s="12">
        <v>13</v>
      </c>
      <c r="H13" s="8">
        <v>7.93</v>
      </c>
      <c r="I13" s="12">
        <v>1</v>
      </c>
    </row>
    <row r="14" spans="2:9" ht="15" customHeight="1" x14ac:dyDescent="0.2">
      <c r="B14" t="s">
        <v>60</v>
      </c>
      <c r="C14" s="12">
        <v>22</v>
      </c>
      <c r="D14" s="8">
        <v>2.99</v>
      </c>
      <c r="E14" s="12">
        <v>19</v>
      </c>
      <c r="F14" s="8">
        <v>3.56</v>
      </c>
      <c r="G14" s="12">
        <v>2</v>
      </c>
      <c r="H14" s="8">
        <v>1.22</v>
      </c>
      <c r="I14" s="12">
        <v>0</v>
      </c>
    </row>
    <row r="15" spans="2:9" ht="15" customHeight="1" x14ac:dyDescent="0.2">
      <c r="B15" t="s">
        <v>61</v>
      </c>
      <c r="C15" s="12">
        <v>143</v>
      </c>
      <c r="D15" s="8">
        <v>19.399999999999999</v>
      </c>
      <c r="E15" s="12">
        <v>132</v>
      </c>
      <c r="F15" s="8">
        <v>24.77</v>
      </c>
      <c r="G15" s="12">
        <v>11</v>
      </c>
      <c r="H15" s="8">
        <v>6.71</v>
      </c>
      <c r="I15" s="12">
        <v>0</v>
      </c>
    </row>
    <row r="16" spans="2:9" ht="15" customHeight="1" x14ac:dyDescent="0.2">
      <c r="B16" t="s">
        <v>62</v>
      </c>
      <c r="C16" s="12">
        <v>65</v>
      </c>
      <c r="D16" s="8">
        <v>8.82</v>
      </c>
      <c r="E16" s="12">
        <v>56</v>
      </c>
      <c r="F16" s="8">
        <v>10.51</v>
      </c>
      <c r="G16" s="12">
        <v>5</v>
      </c>
      <c r="H16" s="8">
        <v>3.05</v>
      </c>
      <c r="I16" s="12">
        <v>1</v>
      </c>
    </row>
    <row r="17" spans="2:9" ht="15" customHeight="1" x14ac:dyDescent="0.2">
      <c r="B17" t="s">
        <v>63</v>
      </c>
      <c r="C17" s="12">
        <v>38</v>
      </c>
      <c r="D17" s="8">
        <v>5.16</v>
      </c>
      <c r="E17" s="12">
        <v>23</v>
      </c>
      <c r="F17" s="8">
        <v>4.32</v>
      </c>
      <c r="G17" s="12">
        <v>1</v>
      </c>
      <c r="H17" s="8">
        <v>0.61</v>
      </c>
      <c r="I17" s="12">
        <v>1</v>
      </c>
    </row>
    <row r="18" spans="2:9" ht="15" customHeight="1" x14ac:dyDescent="0.2">
      <c r="B18" t="s">
        <v>64</v>
      </c>
      <c r="C18" s="12">
        <v>38</v>
      </c>
      <c r="D18" s="8">
        <v>5.16</v>
      </c>
      <c r="E18" s="12">
        <v>17</v>
      </c>
      <c r="F18" s="8">
        <v>3.19</v>
      </c>
      <c r="G18" s="12">
        <v>6</v>
      </c>
      <c r="H18" s="8">
        <v>3.66</v>
      </c>
      <c r="I18" s="12">
        <v>0</v>
      </c>
    </row>
    <row r="19" spans="2:9" ht="15" customHeight="1" x14ac:dyDescent="0.2">
      <c r="B19" t="s">
        <v>65</v>
      </c>
      <c r="C19" s="12">
        <v>9</v>
      </c>
      <c r="D19" s="8">
        <v>1.22</v>
      </c>
      <c r="E19" s="12">
        <v>6</v>
      </c>
      <c r="F19" s="8">
        <v>1.1299999999999999</v>
      </c>
      <c r="G19" s="12">
        <v>2</v>
      </c>
      <c r="H19" s="8">
        <v>1.22</v>
      </c>
      <c r="I19" s="12">
        <v>0</v>
      </c>
    </row>
    <row r="20" spans="2:9" ht="15" customHeight="1" x14ac:dyDescent="0.2">
      <c r="B20" s="9" t="s">
        <v>215</v>
      </c>
      <c r="C20" s="12">
        <f>SUM(LTBL_28585[総数／事業所数])</f>
        <v>737</v>
      </c>
      <c r="E20" s="12">
        <f>SUBTOTAL(109,LTBL_28585[個人／事業所数])</f>
        <v>533</v>
      </c>
      <c r="G20" s="12">
        <f>SUBTOTAL(109,LTBL_28585[法人／事業所数])</f>
        <v>164</v>
      </c>
      <c r="I20" s="12">
        <f>SUBTOTAL(109,LTBL_28585[法人以外の団体／事業所数])</f>
        <v>7</v>
      </c>
    </row>
    <row r="21" spans="2:9" ht="15" customHeight="1" x14ac:dyDescent="0.2">
      <c r="E21" s="11">
        <f>LTBL_28585[[#Totals],[個人／事業所数]]/LTBL_28585[[#Totals],[総数／事業所数]]</f>
        <v>0.72320217096336503</v>
      </c>
      <c r="G21" s="11">
        <f>LTBL_28585[[#Totals],[法人／事業所数]]/LTBL_28585[[#Totals],[総数／事業所数]]</f>
        <v>0.2225237449118046</v>
      </c>
      <c r="I21" s="11">
        <f>LTBL_28585[[#Totals],[法人以外の団体／事業所数]]/LTBL_28585[[#Totals],[総数／事業所数]]</f>
        <v>9.497964721845319E-3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105</v>
      </c>
      <c r="C24" s="12">
        <v>94</v>
      </c>
      <c r="D24" s="8">
        <v>12.75</v>
      </c>
      <c r="E24" s="12">
        <v>85</v>
      </c>
      <c r="F24" s="8">
        <v>15.95</v>
      </c>
      <c r="G24" s="12">
        <v>9</v>
      </c>
      <c r="H24" s="8">
        <v>5.49</v>
      </c>
      <c r="I24" s="12">
        <v>0</v>
      </c>
    </row>
    <row r="25" spans="2:9" ht="15" customHeight="1" x14ac:dyDescent="0.2">
      <c r="B25" t="s">
        <v>81</v>
      </c>
      <c r="C25" s="12">
        <v>62</v>
      </c>
      <c r="D25" s="8">
        <v>8.41</v>
      </c>
      <c r="E25" s="12">
        <v>50</v>
      </c>
      <c r="F25" s="8">
        <v>9.3800000000000008</v>
      </c>
      <c r="G25" s="12">
        <v>12</v>
      </c>
      <c r="H25" s="8">
        <v>7.32</v>
      </c>
      <c r="I25" s="12">
        <v>0</v>
      </c>
    </row>
    <row r="26" spans="2:9" ht="15" customHeight="1" x14ac:dyDescent="0.2">
      <c r="B26" t="s">
        <v>83</v>
      </c>
      <c r="C26" s="12">
        <v>59</v>
      </c>
      <c r="D26" s="8">
        <v>8.01</v>
      </c>
      <c r="E26" s="12">
        <v>46</v>
      </c>
      <c r="F26" s="8">
        <v>8.6300000000000008</v>
      </c>
      <c r="G26" s="12">
        <v>13</v>
      </c>
      <c r="H26" s="8">
        <v>7.93</v>
      </c>
      <c r="I26" s="12">
        <v>0</v>
      </c>
    </row>
    <row r="27" spans="2:9" ht="15" customHeight="1" x14ac:dyDescent="0.2">
      <c r="B27" t="s">
        <v>74</v>
      </c>
      <c r="C27" s="12">
        <v>57</v>
      </c>
      <c r="D27" s="8">
        <v>7.73</v>
      </c>
      <c r="E27" s="12">
        <v>38</v>
      </c>
      <c r="F27" s="8">
        <v>7.13</v>
      </c>
      <c r="G27" s="12">
        <v>19</v>
      </c>
      <c r="H27" s="8">
        <v>11.59</v>
      </c>
      <c r="I27" s="12">
        <v>0</v>
      </c>
    </row>
    <row r="28" spans="2:9" ht="15" customHeight="1" x14ac:dyDescent="0.2">
      <c r="B28" t="s">
        <v>89</v>
      </c>
      <c r="C28" s="12">
        <v>54</v>
      </c>
      <c r="D28" s="8">
        <v>7.33</v>
      </c>
      <c r="E28" s="12">
        <v>52</v>
      </c>
      <c r="F28" s="8">
        <v>9.76</v>
      </c>
      <c r="G28" s="12">
        <v>2</v>
      </c>
      <c r="H28" s="8">
        <v>1.22</v>
      </c>
      <c r="I28" s="12">
        <v>0</v>
      </c>
    </row>
    <row r="29" spans="2:9" ht="15" customHeight="1" x14ac:dyDescent="0.2">
      <c r="B29" t="s">
        <v>108</v>
      </c>
      <c r="C29" s="12">
        <v>48</v>
      </c>
      <c r="D29" s="8">
        <v>6.51</v>
      </c>
      <c r="E29" s="12">
        <v>20</v>
      </c>
      <c r="F29" s="8">
        <v>3.75</v>
      </c>
      <c r="G29" s="12">
        <v>27</v>
      </c>
      <c r="H29" s="8">
        <v>16.46</v>
      </c>
      <c r="I29" s="12">
        <v>1</v>
      </c>
    </row>
    <row r="30" spans="2:9" ht="15" customHeight="1" x14ac:dyDescent="0.2">
      <c r="B30" t="s">
        <v>88</v>
      </c>
      <c r="C30" s="12">
        <v>44</v>
      </c>
      <c r="D30" s="8">
        <v>5.97</v>
      </c>
      <c r="E30" s="12">
        <v>42</v>
      </c>
      <c r="F30" s="8">
        <v>7.88</v>
      </c>
      <c r="G30" s="12">
        <v>2</v>
      </c>
      <c r="H30" s="8">
        <v>1.22</v>
      </c>
      <c r="I30" s="12">
        <v>0</v>
      </c>
    </row>
    <row r="31" spans="2:9" ht="15" customHeight="1" x14ac:dyDescent="0.2">
      <c r="B31" t="s">
        <v>91</v>
      </c>
      <c r="C31" s="12">
        <v>38</v>
      </c>
      <c r="D31" s="8">
        <v>5.16</v>
      </c>
      <c r="E31" s="12">
        <v>23</v>
      </c>
      <c r="F31" s="8">
        <v>4.32</v>
      </c>
      <c r="G31" s="12">
        <v>1</v>
      </c>
      <c r="H31" s="8">
        <v>0.61</v>
      </c>
      <c r="I31" s="12">
        <v>1</v>
      </c>
    </row>
    <row r="32" spans="2:9" ht="15" customHeight="1" x14ac:dyDescent="0.2">
      <c r="B32" t="s">
        <v>75</v>
      </c>
      <c r="C32" s="12">
        <v>36</v>
      </c>
      <c r="D32" s="8">
        <v>4.88</v>
      </c>
      <c r="E32" s="12">
        <v>34</v>
      </c>
      <c r="F32" s="8">
        <v>6.38</v>
      </c>
      <c r="G32" s="12">
        <v>2</v>
      </c>
      <c r="H32" s="8">
        <v>1.22</v>
      </c>
      <c r="I32" s="12">
        <v>0</v>
      </c>
    </row>
    <row r="33" spans="2:9" ht="15" customHeight="1" x14ac:dyDescent="0.2">
      <c r="B33" t="s">
        <v>76</v>
      </c>
      <c r="C33" s="12">
        <v>25</v>
      </c>
      <c r="D33" s="8">
        <v>3.39</v>
      </c>
      <c r="E33" s="12">
        <v>23</v>
      </c>
      <c r="F33" s="8">
        <v>4.32</v>
      </c>
      <c r="G33" s="12">
        <v>2</v>
      </c>
      <c r="H33" s="8">
        <v>1.22</v>
      </c>
      <c r="I33" s="12">
        <v>0</v>
      </c>
    </row>
    <row r="34" spans="2:9" ht="15" customHeight="1" x14ac:dyDescent="0.2">
      <c r="B34" t="s">
        <v>82</v>
      </c>
      <c r="C34" s="12">
        <v>24</v>
      </c>
      <c r="D34" s="8">
        <v>3.26</v>
      </c>
      <c r="E34" s="12">
        <v>17</v>
      </c>
      <c r="F34" s="8">
        <v>3.19</v>
      </c>
      <c r="G34" s="12">
        <v>7</v>
      </c>
      <c r="H34" s="8">
        <v>4.2699999999999996</v>
      </c>
      <c r="I34" s="12">
        <v>0</v>
      </c>
    </row>
    <row r="35" spans="2:9" ht="15" customHeight="1" x14ac:dyDescent="0.2">
      <c r="B35" t="s">
        <v>93</v>
      </c>
      <c r="C35" s="12">
        <v>21</v>
      </c>
      <c r="D35" s="8">
        <v>2.85</v>
      </c>
      <c r="E35" s="12">
        <v>0</v>
      </c>
      <c r="F35" s="8">
        <v>0</v>
      </c>
      <c r="G35" s="12">
        <v>6</v>
      </c>
      <c r="H35" s="8">
        <v>3.66</v>
      </c>
      <c r="I35" s="12">
        <v>0</v>
      </c>
    </row>
    <row r="36" spans="2:9" ht="15" customHeight="1" x14ac:dyDescent="0.2">
      <c r="B36" t="s">
        <v>92</v>
      </c>
      <c r="C36" s="12">
        <v>17</v>
      </c>
      <c r="D36" s="8">
        <v>2.31</v>
      </c>
      <c r="E36" s="12">
        <v>17</v>
      </c>
      <c r="F36" s="8">
        <v>3.19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80</v>
      </c>
      <c r="C37" s="12">
        <v>16</v>
      </c>
      <c r="D37" s="8">
        <v>2.17</v>
      </c>
      <c r="E37" s="12">
        <v>15</v>
      </c>
      <c r="F37" s="8">
        <v>2.81</v>
      </c>
      <c r="G37" s="12">
        <v>1</v>
      </c>
      <c r="H37" s="8">
        <v>0.61</v>
      </c>
      <c r="I37" s="12">
        <v>0</v>
      </c>
    </row>
    <row r="38" spans="2:9" ht="15" customHeight="1" x14ac:dyDescent="0.2">
      <c r="B38" t="s">
        <v>85</v>
      </c>
      <c r="C38" s="12">
        <v>13</v>
      </c>
      <c r="D38" s="8">
        <v>1.76</v>
      </c>
      <c r="E38" s="12">
        <v>3</v>
      </c>
      <c r="F38" s="8">
        <v>0.56000000000000005</v>
      </c>
      <c r="G38" s="12">
        <v>9</v>
      </c>
      <c r="H38" s="8">
        <v>5.49</v>
      </c>
      <c r="I38" s="12">
        <v>1</v>
      </c>
    </row>
    <row r="39" spans="2:9" ht="15" customHeight="1" x14ac:dyDescent="0.2">
      <c r="B39" t="s">
        <v>87</v>
      </c>
      <c r="C39" s="12">
        <v>13</v>
      </c>
      <c r="D39" s="8">
        <v>1.76</v>
      </c>
      <c r="E39" s="12">
        <v>12</v>
      </c>
      <c r="F39" s="8">
        <v>2.25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95</v>
      </c>
      <c r="C40" s="12">
        <v>10</v>
      </c>
      <c r="D40" s="8">
        <v>1.36</v>
      </c>
      <c r="E40" s="12">
        <v>7</v>
      </c>
      <c r="F40" s="8">
        <v>1.31</v>
      </c>
      <c r="G40" s="12">
        <v>3</v>
      </c>
      <c r="H40" s="8">
        <v>1.83</v>
      </c>
      <c r="I40" s="12">
        <v>0</v>
      </c>
    </row>
    <row r="41" spans="2:9" ht="15" customHeight="1" x14ac:dyDescent="0.2">
      <c r="B41" t="s">
        <v>86</v>
      </c>
      <c r="C41" s="12">
        <v>7</v>
      </c>
      <c r="D41" s="8">
        <v>0.95</v>
      </c>
      <c r="E41" s="12">
        <v>5</v>
      </c>
      <c r="F41" s="8">
        <v>0.94</v>
      </c>
      <c r="G41" s="12">
        <v>2</v>
      </c>
      <c r="H41" s="8">
        <v>1.22</v>
      </c>
      <c r="I41" s="12">
        <v>0</v>
      </c>
    </row>
    <row r="42" spans="2:9" ht="15" customHeight="1" x14ac:dyDescent="0.2">
      <c r="B42" t="s">
        <v>107</v>
      </c>
      <c r="C42" s="12">
        <v>6</v>
      </c>
      <c r="D42" s="8">
        <v>0.81</v>
      </c>
      <c r="E42" s="12">
        <v>2</v>
      </c>
      <c r="F42" s="8">
        <v>0.38</v>
      </c>
      <c r="G42" s="12">
        <v>1</v>
      </c>
      <c r="H42" s="8">
        <v>0.61</v>
      </c>
      <c r="I42" s="12">
        <v>1</v>
      </c>
    </row>
    <row r="43" spans="2:9" ht="15" customHeight="1" x14ac:dyDescent="0.2">
      <c r="B43" t="s">
        <v>104</v>
      </c>
      <c r="C43" s="12">
        <v>6</v>
      </c>
      <c r="D43" s="8">
        <v>0.81</v>
      </c>
      <c r="E43" s="12">
        <v>5</v>
      </c>
      <c r="F43" s="8">
        <v>0.94</v>
      </c>
      <c r="G43" s="12">
        <v>1</v>
      </c>
      <c r="H43" s="8">
        <v>0.61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171</v>
      </c>
      <c r="C47" s="12">
        <v>91</v>
      </c>
      <c r="D47" s="8">
        <v>12.35</v>
      </c>
      <c r="E47" s="12">
        <v>82</v>
      </c>
      <c r="F47" s="8">
        <v>15.38</v>
      </c>
      <c r="G47" s="12">
        <v>9</v>
      </c>
      <c r="H47" s="8">
        <v>5.49</v>
      </c>
      <c r="I47" s="12">
        <v>0</v>
      </c>
    </row>
    <row r="48" spans="2:9" ht="15" customHeight="1" x14ac:dyDescent="0.2">
      <c r="B48" t="s">
        <v>194</v>
      </c>
      <c r="C48" s="12">
        <v>39</v>
      </c>
      <c r="D48" s="8">
        <v>5.29</v>
      </c>
      <c r="E48" s="12">
        <v>13</v>
      </c>
      <c r="F48" s="8">
        <v>2.44</v>
      </c>
      <c r="G48" s="12">
        <v>26</v>
      </c>
      <c r="H48" s="8">
        <v>15.85</v>
      </c>
      <c r="I48" s="12">
        <v>0</v>
      </c>
    </row>
    <row r="49" spans="2:9" ht="15" customHeight="1" x14ac:dyDescent="0.2">
      <c r="B49" t="s">
        <v>138</v>
      </c>
      <c r="C49" s="12">
        <v>26</v>
      </c>
      <c r="D49" s="8">
        <v>3.53</v>
      </c>
      <c r="E49" s="12">
        <v>26</v>
      </c>
      <c r="F49" s="8">
        <v>4.88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169</v>
      </c>
      <c r="C50" s="12">
        <v>25</v>
      </c>
      <c r="D50" s="8">
        <v>3.39</v>
      </c>
      <c r="E50" s="12">
        <v>23</v>
      </c>
      <c r="F50" s="8">
        <v>4.32</v>
      </c>
      <c r="G50" s="12">
        <v>2</v>
      </c>
      <c r="H50" s="8">
        <v>1.22</v>
      </c>
      <c r="I50" s="12">
        <v>0</v>
      </c>
    </row>
    <row r="51" spans="2:9" ht="15" customHeight="1" x14ac:dyDescent="0.2">
      <c r="B51" t="s">
        <v>137</v>
      </c>
      <c r="C51" s="12">
        <v>20</v>
      </c>
      <c r="D51" s="8">
        <v>2.71</v>
      </c>
      <c r="E51" s="12">
        <v>20</v>
      </c>
      <c r="F51" s="8">
        <v>3.75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210</v>
      </c>
      <c r="C52" s="12">
        <v>16</v>
      </c>
      <c r="D52" s="8">
        <v>2.17</v>
      </c>
      <c r="E52" s="12">
        <v>10</v>
      </c>
      <c r="F52" s="8">
        <v>1.88</v>
      </c>
      <c r="G52" s="12">
        <v>6</v>
      </c>
      <c r="H52" s="8">
        <v>3.66</v>
      </c>
      <c r="I52" s="12">
        <v>0</v>
      </c>
    </row>
    <row r="53" spans="2:9" ht="15" customHeight="1" x14ac:dyDescent="0.2">
      <c r="B53" t="s">
        <v>126</v>
      </c>
      <c r="C53" s="12">
        <v>16</v>
      </c>
      <c r="D53" s="8">
        <v>2.17</v>
      </c>
      <c r="E53" s="12">
        <v>12</v>
      </c>
      <c r="F53" s="8">
        <v>2.25</v>
      </c>
      <c r="G53" s="12">
        <v>4</v>
      </c>
      <c r="H53" s="8">
        <v>2.44</v>
      </c>
      <c r="I53" s="12">
        <v>0</v>
      </c>
    </row>
    <row r="54" spans="2:9" ht="15" customHeight="1" x14ac:dyDescent="0.2">
      <c r="B54" t="s">
        <v>124</v>
      </c>
      <c r="C54" s="12">
        <v>15</v>
      </c>
      <c r="D54" s="8">
        <v>2.04</v>
      </c>
      <c r="E54" s="12">
        <v>14</v>
      </c>
      <c r="F54" s="8">
        <v>2.63</v>
      </c>
      <c r="G54" s="12">
        <v>1</v>
      </c>
      <c r="H54" s="8">
        <v>0.61</v>
      </c>
      <c r="I54" s="12">
        <v>0</v>
      </c>
    </row>
    <row r="55" spans="2:9" ht="15" customHeight="1" x14ac:dyDescent="0.2">
      <c r="B55" t="s">
        <v>127</v>
      </c>
      <c r="C55" s="12">
        <v>15</v>
      </c>
      <c r="D55" s="8">
        <v>2.04</v>
      </c>
      <c r="E55" s="12">
        <v>8</v>
      </c>
      <c r="F55" s="8">
        <v>1.5</v>
      </c>
      <c r="G55" s="12">
        <v>7</v>
      </c>
      <c r="H55" s="8">
        <v>4.2699999999999996</v>
      </c>
      <c r="I55" s="12">
        <v>0</v>
      </c>
    </row>
    <row r="56" spans="2:9" ht="15" customHeight="1" x14ac:dyDescent="0.2">
      <c r="B56" t="s">
        <v>129</v>
      </c>
      <c r="C56" s="12">
        <v>15</v>
      </c>
      <c r="D56" s="8">
        <v>2.04</v>
      </c>
      <c r="E56" s="12">
        <v>12</v>
      </c>
      <c r="F56" s="8">
        <v>2.25</v>
      </c>
      <c r="G56" s="12">
        <v>3</v>
      </c>
      <c r="H56" s="8">
        <v>1.83</v>
      </c>
      <c r="I56" s="12">
        <v>0</v>
      </c>
    </row>
    <row r="57" spans="2:9" ht="15" customHeight="1" x14ac:dyDescent="0.2">
      <c r="B57" t="s">
        <v>123</v>
      </c>
      <c r="C57" s="12">
        <v>14</v>
      </c>
      <c r="D57" s="8">
        <v>1.9</v>
      </c>
      <c r="E57" s="12">
        <v>8</v>
      </c>
      <c r="F57" s="8">
        <v>1.5</v>
      </c>
      <c r="G57" s="12">
        <v>6</v>
      </c>
      <c r="H57" s="8">
        <v>3.66</v>
      </c>
      <c r="I57" s="12">
        <v>0</v>
      </c>
    </row>
    <row r="58" spans="2:9" ht="15" customHeight="1" x14ac:dyDescent="0.2">
      <c r="B58" t="s">
        <v>208</v>
      </c>
      <c r="C58" s="12">
        <v>14</v>
      </c>
      <c r="D58" s="8">
        <v>1.9</v>
      </c>
      <c r="E58" s="12">
        <v>0</v>
      </c>
      <c r="F58" s="8">
        <v>0</v>
      </c>
      <c r="G58" s="12">
        <v>0</v>
      </c>
      <c r="H58" s="8">
        <v>0</v>
      </c>
      <c r="I58" s="12">
        <v>1</v>
      </c>
    </row>
    <row r="59" spans="2:9" ht="15" customHeight="1" x14ac:dyDescent="0.2">
      <c r="B59" t="s">
        <v>154</v>
      </c>
      <c r="C59" s="12">
        <v>13</v>
      </c>
      <c r="D59" s="8">
        <v>1.76</v>
      </c>
      <c r="E59" s="12">
        <v>13</v>
      </c>
      <c r="F59" s="8">
        <v>2.44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140</v>
      </c>
      <c r="C60" s="12">
        <v>13</v>
      </c>
      <c r="D60" s="8">
        <v>1.76</v>
      </c>
      <c r="E60" s="12">
        <v>13</v>
      </c>
      <c r="F60" s="8">
        <v>2.44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200</v>
      </c>
      <c r="C61" s="12">
        <v>13</v>
      </c>
      <c r="D61" s="8">
        <v>1.76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172</v>
      </c>
      <c r="C62" s="12">
        <v>12</v>
      </c>
      <c r="D62" s="8">
        <v>1.63</v>
      </c>
      <c r="E62" s="12">
        <v>5</v>
      </c>
      <c r="F62" s="8">
        <v>0.94</v>
      </c>
      <c r="G62" s="12">
        <v>7</v>
      </c>
      <c r="H62" s="8">
        <v>4.2699999999999996</v>
      </c>
      <c r="I62" s="12">
        <v>0</v>
      </c>
    </row>
    <row r="63" spans="2:9" ht="15" customHeight="1" x14ac:dyDescent="0.2">
      <c r="B63" t="s">
        <v>144</v>
      </c>
      <c r="C63" s="12">
        <v>12</v>
      </c>
      <c r="D63" s="8">
        <v>1.63</v>
      </c>
      <c r="E63" s="12">
        <v>11</v>
      </c>
      <c r="F63" s="8">
        <v>2.06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122</v>
      </c>
      <c r="C64" s="12">
        <v>11</v>
      </c>
      <c r="D64" s="8">
        <v>1.49</v>
      </c>
      <c r="E64" s="12">
        <v>4</v>
      </c>
      <c r="F64" s="8">
        <v>0.75</v>
      </c>
      <c r="G64" s="12">
        <v>7</v>
      </c>
      <c r="H64" s="8">
        <v>4.2699999999999996</v>
      </c>
      <c r="I64" s="12">
        <v>0</v>
      </c>
    </row>
    <row r="65" spans="2:9" ht="15" customHeight="1" x14ac:dyDescent="0.2">
      <c r="B65" t="s">
        <v>196</v>
      </c>
      <c r="C65" s="12">
        <v>11</v>
      </c>
      <c r="D65" s="8">
        <v>1.49</v>
      </c>
      <c r="E65" s="12">
        <v>10</v>
      </c>
      <c r="F65" s="8">
        <v>1.88</v>
      </c>
      <c r="G65" s="12">
        <v>1</v>
      </c>
      <c r="H65" s="8">
        <v>0.61</v>
      </c>
      <c r="I65" s="12">
        <v>0</v>
      </c>
    </row>
    <row r="66" spans="2:9" ht="15" customHeight="1" x14ac:dyDescent="0.2">
      <c r="B66" t="s">
        <v>134</v>
      </c>
      <c r="C66" s="12">
        <v>11</v>
      </c>
      <c r="D66" s="8">
        <v>1.49</v>
      </c>
      <c r="E66" s="12">
        <v>11</v>
      </c>
      <c r="F66" s="8">
        <v>2.06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139</v>
      </c>
      <c r="C67" s="12">
        <v>11</v>
      </c>
      <c r="D67" s="8">
        <v>1.49</v>
      </c>
      <c r="E67" s="12">
        <v>10</v>
      </c>
      <c r="F67" s="8">
        <v>1.88</v>
      </c>
      <c r="G67" s="12">
        <v>1</v>
      </c>
      <c r="H67" s="8">
        <v>0.61</v>
      </c>
      <c r="I67" s="12">
        <v>0</v>
      </c>
    </row>
    <row r="68" spans="2:9" ht="15" customHeight="1" x14ac:dyDescent="0.2">
      <c r="B68" t="s">
        <v>141</v>
      </c>
      <c r="C68" s="12">
        <v>11</v>
      </c>
      <c r="D68" s="8">
        <v>1.49</v>
      </c>
      <c r="E68" s="12">
        <v>11</v>
      </c>
      <c r="F68" s="8">
        <v>2.06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4C828-D7D3-4337-ADBD-3720AD999C3A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268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80</v>
      </c>
      <c r="D6" s="8">
        <v>19.23</v>
      </c>
      <c r="E6" s="12">
        <v>34</v>
      </c>
      <c r="F6" s="8">
        <v>12.01</v>
      </c>
      <c r="G6" s="12">
        <v>46</v>
      </c>
      <c r="H6" s="8">
        <v>39.32</v>
      </c>
      <c r="I6" s="12">
        <v>0</v>
      </c>
    </row>
    <row r="7" spans="2:9" ht="15" customHeight="1" x14ac:dyDescent="0.2">
      <c r="B7" t="s">
        <v>53</v>
      </c>
      <c r="C7" s="12">
        <v>24</v>
      </c>
      <c r="D7" s="8">
        <v>5.77</v>
      </c>
      <c r="E7" s="12">
        <v>16</v>
      </c>
      <c r="F7" s="8">
        <v>5.65</v>
      </c>
      <c r="G7" s="12">
        <v>8</v>
      </c>
      <c r="H7" s="8">
        <v>6.84</v>
      </c>
      <c r="I7" s="12">
        <v>0</v>
      </c>
    </row>
    <row r="8" spans="2:9" ht="15" customHeight="1" x14ac:dyDescent="0.2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55</v>
      </c>
      <c r="C9" s="12">
        <v>1</v>
      </c>
      <c r="D9" s="8">
        <v>0.24</v>
      </c>
      <c r="E9" s="12">
        <v>0</v>
      </c>
      <c r="F9" s="8">
        <v>0</v>
      </c>
      <c r="G9" s="12">
        <v>1</v>
      </c>
      <c r="H9" s="8">
        <v>0.85</v>
      </c>
      <c r="I9" s="12">
        <v>0</v>
      </c>
    </row>
    <row r="10" spans="2:9" ht="15" customHeight="1" x14ac:dyDescent="0.2">
      <c r="B10" t="s">
        <v>56</v>
      </c>
      <c r="C10" s="12">
        <v>4</v>
      </c>
      <c r="D10" s="8">
        <v>0.96</v>
      </c>
      <c r="E10" s="12">
        <v>2</v>
      </c>
      <c r="F10" s="8">
        <v>0.71</v>
      </c>
      <c r="G10" s="12">
        <v>1</v>
      </c>
      <c r="H10" s="8">
        <v>0.85</v>
      </c>
      <c r="I10" s="12">
        <v>1</v>
      </c>
    </row>
    <row r="11" spans="2:9" ht="15" customHeight="1" x14ac:dyDescent="0.2">
      <c r="B11" t="s">
        <v>57</v>
      </c>
      <c r="C11" s="12">
        <v>109</v>
      </c>
      <c r="D11" s="8">
        <v>26.2</v>
      </c>
      <c r="E11" s="12">
        <v>75</v>
      </c>
      <c r="F11" s="8">
        <v>26.5</v>
      </c>
      <c r="G11" s="12">
        <v>34</v>
      </c>
      <c r="H11" s="8">
        <v>29.06</v>
      </c>
      <c r="I11" s="12">
        <v>0</v>
      </c>
    </row>
    <row r="12" spans="2:9" ht="15" customHeight="1" x14ac:dyDescent="0.2">
      <c r="B12" t="s">
        <v>58</v>
      </c>
      <c r="C12" s="12">
        <v>2</v>
      </c>
      <c r="D12" s="8">
        <v>0.48</v>
      </c>
      <c r="E12" s="12">
        <v>0</v>
      </c>
      <c r="F12" s="8">
        <v>0</v>
      </c>
      <c r="G12" s="12">
        <v>2</v>
      </c>
      <c r="H12" s="8">
        <v>1.71</v>
      </c>
      <c r="I12" s="12">
        <v>0</v>
      </c>
    </row>
    <row r="13" spans="2:9" ht="15" customHeight="1" x14ac:dyDescent="0.2">
      <c r="B13" t="s">
        <v>59</v>
      </c>
      <c r="C13" s="12">
        <v>15</v>
      </c>
      <c r="D13" s="8">
        <v>3.61</v>
      </c>
      <c r="E13" s="12">
        <v>9</v>
      </c>
      <c r="F13" s="8">
        <v>3.18</v>
      </c>
      <c r="G13" s="12">
        <v>6</v>
      </c>
      <c r="H13" s="8">
        <v>5.13</v>
      </c>
      <c r="I13" s="12">
        <v>0</v>
      </c>
    </row>
    <row r="14" spans="2:9" ht="15" customHeight="1" x14ac:dyDescent="0.2">
      <c r="B14" t="s">
        <v>60</v>
      </c>
      <c r="C14" s="12">
        <v>14</v>
      </c>
      <c r="D14" s="8">
        <v>3.37</v>
      </c>
      <c r="E14" s="12">
        <v>13</v>
      </c>
      <c r="F14" s="8">
        <v>4.59</v>
      </c>
      <c r="G14" s="12">
        <v>1</v>
      </c>
      <c r="H14" s="8">
        <v>0.85</v>
      </c>
      <c r="I14" s="12">
        <v>0</v>
      </c>
    </row>
    <row r="15" spans="2:9" ht="15" customHeight="1" x14ac:dyDescent="0.2">
      <c r="B15" t="s">
        <v>61</v>
      </c>
      <c r="C15" s="12">
        <v>70</v>
      </c>
      <c r="D15" s="8">
        <v>16.829999999999998</v>
      </c>
      <c r="E15" s="12">
        <v>62</v>
      </c>
      <c r="F15" s="8">
        <v>21.91</v>
      </c>
      <c r="G15" s="12">
        <v>7</v>
      </c>
      <c r="H15" s="8">
        <v>5.98</v>
      </c>
      <c r="I15" s="12">
        <v>0</v>
      </c>
    </row>
    <row r="16" spans="2:9" ht="15" customHeight="1" x14ac:dyDescent="0.2">
      <c r="B16" t="s">
        <v>62</v>
      </c>
      <c r="C16" s="12">
        <v>52</v>
      </c>
      <c r="D16" s="8">
        <v>12.5</v>
      </c>
      <c r="E16" s="12">
        <v>48</v>
      </c>
      <c r="F16" s="8">
        <v>16.96</v>
      </c>
      <c r="G16" s="12">
        <v>1</v>
      </c>
      <c r="H16" s="8">
        <v>0.85</v>
      </c>
      <c r="I16" s="12">
        <v>1</v>
      </c>
    </row>
    <row r="17" spans="2:9" ht="15" customHeight="1" x14ac:dyDescent="0.2">
      <c r="B17" t="s">
        <v>63</v>
      </c>
      <c r="C17" s="12">
        <v>10</v>
      </c>
      <c r="D17" s="8">
        <v>2.4</v>
      </c>
      <c r="E17" s="12">
        <v>5</v>
      </c>
      <c r="F17" s="8">
        <v>1.77</v>
      </c>
      <c r="G17" s="12">
        <v>2</v>
      </c>
      <c r="H17" s="8">
        <v>1.71</v>
      </c>
      <c r="I17" s="12">
        <v>1</v>
      </c>
    </row>
    <row r="18" spans="2:9" ht="15" customHeight="1" x14ac:dyDescent="0.2">
      <c r="B18" t="s">
        <v>64</v>
      </c>
      <c r="C18" s="12">
        <v>22</v>
      </c>
      <c r="D18" s="8">
        <v>5.29</v>
      </c>
      <c r="E18" s="12">
        <v>10</v>
      </c>
      <c r="F18" s="8">
        <v>3.53</v>
      </c>
      <c r="G18" s="12">
        <v>6</v>
      </c>
      <c r="H18" s="8">
        <v>5.13</v>
      </c>
      <c r="I18" s="12">
        <v>0</v>
      </c>
    </row>
    <row r="19" spans="2:9" ht="15" customHeight="1" x14ac:dyDescent="0.2">
      <c r="B19" t="s">
        <v>65</v>
      </c>
      <c r="C19" s="12">
        <v>13</v>
      </c>
      <c r="D19" s="8">
        <v>3.13</v>
      </c>
      <c r="E19" s="12">
        <v>9</v>
      </c>
      <c r="F19" s="8">
        <v>3.18</v>
      </c>
      <c r="G19" s="12">
        <v>2</v>
      </c>
      <c r="H19" s="8">
        <v>1.71</v>
      </c>
      <c r="I19" s="12">
        <v>0</v>
      </c>
    </row>
    <row r="20" spans="2:9" ht="15" customHeight="1" x14ac:dyDescent="0.2">
      <c r="B20" s="9" t="s">
        <v>215</v>
      </c>
      <c r="C20" s="12">
        <f>SUM(LTBL_28586[総数／事業所数])</f>
        <v>416</v>
      </c>
      <c r="E20" s="12">
        <f>SUBTOTAL(109,LTBL_28586[個人／事業所数])</f>
        <v>283</v>
      </c>
      <c r="G20" s="12">
        <f>SUBTOTAL(109,LTBL_28586[法人／事業所数])</f>
        <v>117</v>
      </c>
      <c r="I20" s="12">
        <f>SUBTOTAL(109,LTBL_28586[法人以外の団体／事業所数])</f>
        <v>3</v>
      </c>
    </row>
    <row r="21" spans="2:9" ht="15" customHeight="1" x14ac:dyDescent="0.2">
      <c r="E21" s="11">
        <f>LTBL_28586[[#Totals],[個人／事業所数]]/LTBL_28586[[#Totals],[総数／事業所数]]</f>
        <v>0.68028846153846156</v>
      </c>
      <c r="G21" s="11">
        <f>LTBL_28586[[#Totals],[法人／事業所数]]/LTBL_28586[[#Totals],[総数／事業所数]]</f>
        <v>0.28125</v>
      </c>
      <c r="I21" s="11">
        <f>LTBL_28586[[#Totals],[法人以外の団体／事業所数]]/LTBL_28586[[#Totals],[総数／事業所数]]</f>
        <v>7.2115384615384619E-3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47</v>
      </c>
      <c r="D24" s="8">
        <v>11.3</v>
      </c>
      <c r="E24" s="12">
        <v>44</v>
      </c>
      <c r="F24" s="8">
        <v>15.55</v>
      </c>
      <c r="G24" s="12">
        <v>3</v>
      </c>
      <c r="H24" s="8">
        <v>2.56</v>
      </c>
      <c r="I24" s="12">
        <v>0</v>
      </c>
    </row>
    <row r="25" spans="2:9" ht="15" customHeight="1" x14ac:dyDescent="0.2">
      <c r="B25" t="s">
        <v>74</v>
      </c>
      <c r="C25" s="12">
        <v>45</v>
      </c>
      <c r="D25" s="8">
        <v>10.82</v>
      </c>
      <c r="E25" s="12">
        <v>13</v>
      </c>
      <c r="F25" s="8">
        <v>4.59</v>
      </c>
      <c r="G25" s="12">
        <v>32</v>
      </c>
      <c r="H25" s="8">
        <v>27.35</v>
      </c>
      <c r="I25" s="12">
        <v>0</v>
      </c>
    </row>
    <row r="26" spans="2:9" ht="15" customHeight="1" x14ac:dyDescent="0.2">
      <c r="B26" t="s">
        <v>89</v>
      </c>
      <c r="C26" s="12">
        <v>43</v>
      </c>
      <c r="D26" s="8">
        <v>10.34</v>
      </c>
      <c r="E26" s="12">
        <v>42</v>
      </c>
      <c r="F26" s="8">
        <v>14.84</v>
      </c>
      <c r="G26" s="12">
        <v>1</v>
      </c>
      <c r="H26" s="8">
        <v>0.85</v>
      </c>
      <c r="I26" s="12">
        <v>0</v>
      </c>
    </row>
    <row r="27" spans="2:9" ht="15" customHeight="1" x14ac:dyDescent="0.2">
      <c r="B27" t="s">
        <v>83</v>
      </c>
      <c r="C27" s="12">
        <v>35</v>
      </c>
      <c r="D27" s="8">
        <v>8.41</v>
      </c>
      <c r="E27" s="12">
        <v>22</v>
      </c>
      <c r="F27" s="8">
        <v>7.77</v>
      </c>
      <c r="G27" s="12">
        <v>13</v>
      </c>
      <c r="H27" s="8">
        <v>11.11</v>
      </c>
      <c r="I27" s="12">
        <v>0</v>
      </c>
    </row>
    <row r="28" spans="2:9" ht="15" customHeight="1" x14ac:dyDescent="0.2">
      <c r="B28" t="s">
        <v>81</v>
      </c>
      <c r="C28" s="12">
        <v>29</v>
      </c>
      <c r="D28" s="8">
        <v>6.97</v>
      </c>
      <c r="E28" s="12">
        <v>25</v>
      </c>
      <c r="F28" s="8">
        <v>8.83</v>
      </c>
      <c r="G28" s="12">
        <v>4</v>
      </c>
      <c r="H28" s="8">
        <v>3.42</v>
      </c>
      <c r="I28" s="12">
        <v>0</v>
      </c>
    </row>
    <row r="29" spans="2:9" ht="15" customHeight="1" x14ac:dyDescent="0.2">
      <c r="B29" t="s">
        <v>75</v>
      </c>
      <c r="C29" s="12">
        <v>22</v>
      </c>
      <c r="D29" s="8">
        <v>5.29</v>
      </c>
      <c r="E29" s="12">
        <v>15</v>
      </c>
      <c r="F29" s="8">
        <v>5.3</v>
      </c>
      <c r="G29" s="12">
        <v>7</v>
      </c>
      <c r="H29" s="8">
        <v>5.98</v>
      </c>
      <c r="I29" s="12">
        <v>0</v>
      </c>
    </row>
    <row r="30" spans="2:9" ht="15" customHeight="1" x14ac:dyDescent="0.2">
      <c r="B30" t="s">
        <v>105</v>
      </c>
      <c r="C30" s="12">
        <v>21</v>
      </c>
      <c r="D30" s="8">
        <v>5.05</v>
      </c>
      <c r="E30" s="12">
        <v>16</v>
      </c>
      <c r="F30" s="8">
        <v>5.65</v>
      </c>
      <c r="G30" s="12">
        <v>4</v>
      </c>
      <c r="H30" s="8">
        <v>3.42</v>
      </c>
      <c r="I30" s="12">
        <v>0</v>
      </c>
    </row>
    <row r="31" spans="2:9" ht="15" customHeight="1" x14ac:dyDescent="0.2">
      <c r="B31" t="s">
        <v>82</v>
      </c>
      <c r="C31" s="12">
        <v>19</v>
      </c>
      <c r="D31" s="8">
        <v>4.57</v>
      </c>
      <c r="E31" s="12">
        <v>13</v>
      </c>
      <c r="F31" s="8">
        <v>4.59</v>
      </c>
      <c r="G31" s="12">
        <v>6</v>
      </c>
      <c r="H31" s="8">
        <v>5.13</v>
      </c>
      <c r="I31" s="12">
        <v>0</v>
      </c>
    </row>
    <row r="32" spans="2:9" ht="15" customHeight="1" x14ac:dyDescent="0.2">
      <c r="B32" t="s">
        <v>76</v>
      </c>
      <c r="C32" s="12">
        <v>13</v>
      </c>
      <c r="D32" s="8">
        <v>3.13</v>
      </c>
      <c r="E32" s="12">
        <v>6</v>
      </c>
      <c r="F32" s="8">
        <v>2.12</v>
      </c>
      <c r="G32" s="12">
        <v>7</v>
      </c>
      <c r="H32" s="8">
        <v>5.98</v>
      </c>
      <c r="I32" s="12">
        <v>0</v>
      </c>
    </row>
    <row r="33" spans="2:9" ht="15" customHeight="1" x14ac:dyDescent="0.2">
      <c r="B33" t="s">
        <v>85</v>
      </c>
      <c r="C33" s="12">
        <v>12</v>
      </c>
      <c r="D33" s="8">
        <v>2.88</v>
      </c>
      <c r="E33" s="12">
        <v>9</v>
      </c>
      <c r="F33" s="8">
        <v>3.18</v>
      </c>
      <c r="G33" s="12">
        <v>3</v>
      </c>
      <c r="H33" s="8">
        <v>2.56</v>
      </c>
      <c r="I33" s="12">
        <v>0</v>
      </c>
    </row>
    <row r="34" spans="2:9" ht="15" customHeight="1" x14ac:dyDescent="0.2">
      <c r="B34" t="s">
        <v>92</v>
      </c>
      <c r="C34" s="12">
        <v>12</v>
      </c>
      <c r="D34" s="8">
        <v>2.88</v>
      </c>
      <c r="E34" s="12">
        <v>10</v>
      </c>
      <c r="F34" s="8">
        <v>3.53</v>
      </c>
      <c r="G34" s="12">
        <v>2</v>
      </c>
      <c r="H34" s="8">
        <v>1.71</v>
      </c>
      <c r="I34" s="12">
        <v>0</v>
      </c>
    </row>
    <row r="35" spans="2:9" ht="15" customHeight="1" x14ac:dyDescent="0.2">
      <c r="B35" t="s">
        <v>108</v>
      </c>
      <c r="C35" s="12">
        <v>10</v>
      </c>
      <c r="D35" s="8">
        <v>2.4</v>
      </c>
      <c r="E35" s="12">
        <v>8</v>
      </c>
      <c r="F35" s="8">
        <v>2.83</v>
      </c>
      <c r="G35" s="12">
        <v>2</v>
      </c>
      <c r="H35" s="8">
        <v>1.71</v>
      </c>
      <c r="I35" s="12">
        <v>0</v>
      </c>
    </row>
    <row r="36" spans="2:9" ht="15" customHeight="1" x14ac:dyDescent="0.2">
      <c r="B36" t="s">
        <v>91</v>
      </c>
      <c r="C36" s="12">
        <v>10</v>
      </c>
      <c r="D36" s="8">
        <v>2.4</v>
      </c>
      <c r="E36" s="12">
        <v>5</v>
      </c>
      <c r="F36" s="8">
        <v>1.77</v>
      </c>
      <c r="G36" s="12">
        <v>2</v>
      </c>
      <c r="H36" s="8">
        <v>1.71</v>
      </c>
      <c r="I36" s="12">
        <v>1</v>
      </c>
    </row>
    <row r="37" spans="2:9" ht="15" customHeight="1" x14ac:dyDescent="0.2">
      <c r="B37" t="s">
        <v>93</v>
      </c>
      <c r="C37" s="12">
        <v>10</v>
      </c>
      <c r="D37" s="8">
        <v>2.4</v>
      </c>
      <c r="E37" s="12">
        <v>0</v>
      </c>
      <c r="F37" s="8">
        <v>0</v>
      </c>
      <c r="G37" s="12">
        <v>4</v>
      </c>
      <c r="H37" s="8">
        <v>3.42</v>
      </c>
      <c r="I37" s="12">
        <v>0</v>
      </c>
    </row>
    <row r="38" spans="2:9" ht="15" customHeight="1" x14ac:dyDescent="0.2">
      <c r="B38" t="s">
        <v>95</v>
      </c>
      <c r="C38" s="12">
        <v>9</v>
      </c>
      <c r="D38" s="8">
        <v>2.16</v>
      </c>
      <c r="E38" s="12">
        <v>3</v>
      </c>
      <c r="F38" s="8">
        <v>1.06</v>
      </c>
      <c r="G38" s="12">
        <v>6</v>
      </c>
      <c r="H38" s="8">
        <v>5.13</v>
      </c>
      <c r="I38" s="12">
        <v>0</v>
      </c>
    </row>
    <row r="39" spans="2:9" ht="15" customHeight="1" x14ac:dyDescent="0.2">
      <c r="B39" t="s">
        <v>86</v>
      </c>
      <c r="C39" s="12">
        <v>7</v>
      </c>
      <c r="D39" s="8">
        <v>1.68</v>
      </c>
      <c r="E39" s="12">
        <v>7</v>
      </c>
      <c r="F39" s="8">
        <v>2.4700000000000002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87</v>
      </c>
      <c r="C40" s="12">
        <v>7</v>
      </c>
      <c r="D40" s="8">
        <v>1.68</v>
      </c>
      <c r="E40" s="12">
        <v>6</v>
      </c>
      <c r="F40" s="8">
        <v>2.12</v>
      </c>
      <c r="G40" s="12">
        <v>1</v>
      </c>
      <c r="H40" s="8">
        <v>0.85</v>
      </c>
      <c r="I40" s="12">
        <v>0</v>
      </c>
    </row>
    <row r="41" spans="2:9" ht="15" customHeight="1" x14ac:dyDescent="0.2">
      <c r="B41" t="s">
        <v>104</v>
      </c>
      <c r="C41" s="12">
        <v>7</v>
      </c>
      <c r="D41" s="8">
        <v>1.68</v>
      </c>
      <c r="E41" s="12">
        <v>7</v>
      </c>
      <c r="F41" s="8">
        <v>2.4700000000000002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80</v>
      </c>
      <c r="C42" s="12">
        <v>6</v>
      </c>
      <c r="D42" s="8">
        <v>1.44</v>
      </c>
      <c r="E42" s="12">
        <v>5</v>
      </c>
      <c r="F42" s="8">
        <v>1.77</v>
      </c>
      <c r="G42" s="12">
        <v>1</v>
      </c>
      <c r="H42" s="8">
        <v>0.85</v>
      </c>
      <c r="I42" s="12">
        <v>0</v>
      </c>
    </row>
    <row r="43" spans="2:9" ht="15" customHeight="1" x14ac:dyDescent="0.2">
      <c r="B43" t="s">
        <v>101</v>
      </c>
      <c r="C43" s="12">
        <v>5</v>
      </c>
      <c r="D43" s="8">
        <v>1.2</v>
      </c>
      <c r="E43" s="12">
        <v>2</v>
      </c>
      <c r="F43" s="8">
        <v>0.71</v>
      </c>
      <c r="G43" s="12">
        <v>3</v>
      </c>
      <c r="H43" s="8">
        <v>2.56</v>
      </c>
      <c r="I43" s="12">
        <v>0</v>
      </c>
    </row>
    <row r="44" spans="2:9" ht="15" customHeight="1" x14ac:dyDescent="0.2">
      <c r="B44" t="s">
        <v>107</v>
      </c>
      <c r="C44" s="12">
        <v>5</v>
      </c>
      <c r="D44" s="8">
        <v>1.2</v>
      </c>
      <c r="E44" s="12">
        <v>3</v>
      </c>
      <c r="F44" s="8">
        <v>1.06</v>
      </c>
      <c r="G44" s="12">
        <v>0</v>
      </c>
      <c r="H44" s="8">
        <v>0</v>
      </c>
      <c r="I44" s="12">
        <v>1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122</v>
      </c>
      <c r="C48" s="12">
        <v>26</v>
      </c>
      <c r="D48" s="8">
        <v>6.25</v>
      </c>
      <c r="E48" s="12">
        <v>3</v>
      </c>
      <c r="F48" s="8">
        <v>1.06</v>
      </c>
      <c r="G48" s="12">
        <v>23</v>
      </c>
      <c r="H48" s="8">
        <v>19.66</v>
      </c>
      <c r="I48" s="12">
        <v>0</v>
      </c>
    </row>
    <row r="49" spans="2:9" ht="15" customHeight="1" x14ac:dyDescent="0.2">
      <c r="B49" t="s">
        <v>137</v>
      </c>
      <c r="C49" s="12">
        <v>21</v>
      </c>
      <c r="D49" s="8">
        <v>5.05</v>
      </c>
      <c r="E49" s="12">
        <v>21</v>
      </c>
      <c r="F49" s="8">
        <v>7.42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171</v>
      </c>
      <c r="C50" s="12">
        <v>19</v>
      </c>
      <c r="D50" s="8">
        <v>4.57</v>
      </c>
      <c r="E50" s="12">
        <v>15</v>
      </c>
      <c r="F50" s="8">
        <v>5.3</v>
      </c>
      <c r="G50" s="12">
        <v>4</v>
      </c>
      <c r="H50" s="8">
        <v>3.42</v>
      </c>
      <c r="I50" s="12">
        <v>0</v>
      </c>
    </row>
    <row r="51" spans="2:9" ht="15" customHeight="1" x14ac:dyDescent="0.2">
      <c r="B51" t="s">
        <v>138</v>
      </c>
      <c r="C51" s="12">
        <v>18</v>
      </c>
      <c r="D51" s="8">
        <v>4.33</v>
      </c>
      <c r="E51" s="12">
        <v>18</v>
      </c>
      <c r="F51" s="8">
        <v>6.36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127</v>
      </c>
      <c r="C52" s="12">
        <v>11</v>
      </c>
      <c r="D52" s="8">
        <v>2.64</v>
      </c>
      <c r="E52" s="12">
        <v>8</v>
      </c>
      <c r="F52" s="8">
        <v>2.83</v>
      </c>
      <c r="G52" s="12">
        <v>3</v>
      </c>
      <c r="H52" s="8">
        <v>2.56</v>
      </c>
      <c r="I52" s="12">
        <v>0</v>
      </c>
    </row>
    <row r="53" spans="2:9" ht="15" customHeight="1" x14ac:dyDescent="0.2">
      <c r="B53" t="s">
        <v>136</v>
      </c>
      <c r="C53" s="12">
        <v>11</v>
      </c>
      <c r="D53" s="8">
        <v>2.64</v>
      </c>
      <c r="E53" s="12">
        <v>11</v>
      </c>
      <c r="F53" s="8">
        <v>3.89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172</v>
      </c>
      <c r="C54" s="12">
        <v>10</v>
      </c>
      <c r="D54" s="8">
        <v>2.4</v>
      </c>
      <c r="E54" s="12">
        <v>2</v>
      </c>
      <c r="F54" s="8">
        <v>0.71</v>
      </c>
      <c r="G54" s="12">
        <v>8</v>
      </c>
      <c r="H54" s="8">
        <v>6.84</v>
      </c>
      <c r="I54" s="12">
        <v>0</v>
      </c>
    </row>
    <row r="55" spans="2:9" ht="15" customHeight="1" x14ac:dyDescent="0.2">
      <c r="B55" t="s">
        <v>133</v>
      </c>
      <c r="C55" s="12">
        <v>10</v>
      </c>
      <c r="D55" s="8">
        <v>2.4</v>
      </c>
      <c r="E55" s="12">
        <v>10</v>
      </c>
      <c r="F55" s="8">
        <v>3.53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169</v>
      </c>
      <c r="C56" s="12">
        <v>9</v>
      </c>
      <c r="D56" s="8">
        <v>2.16</v>
      </c>
      <c r="E56" s="12">
        <v>5</v>
      </c>
      <c r="F56" s="8">
        <v>1.77</v>
      </c>
      <c r="G56" s="12">
        <v>4</v>
      </c>
      <c r="H56" s="8">
        <v>3.42</v>
      </c>
      <c r="I56" s="12">
        <v>0</v>
      </c>
    </row>
    <row r="57" spans="2:9" ht="15" customHeight="1" x14ac:dyDescent="0.2">
      <c r="B57" t="s">
        <v>151</v>
      </c>
      <c r="C57" s="12">
        <v>9</v>
      </c>
      <c r="D57" s="8">
        <v>2.16</v>
      </c>
      <c r="E57" s="12">
        <v>7</v>
      </c>
      <c r="F57" s="8">
        <v>2.4700000000000002</v>
      </c>
      <c r="G57" s="12">
        <v>2</v>
      </c>
      <c r="H57" s="8">
        <v>1.71</v>
      </c>
      <c r="I57" s="12">
        <v>0</v>
      </c>
    </row>
    <row r="58" spans="2:9" ht="15" customHeight="1" x14ac:dyDescent="0.2">
      <c r="B58" t="s">
        <v>141</v>
      </c>
      <c r="C58" s="12">
        <v>9</v>
      </c>
      <c r="D58" s="8">
        <v>2.16</v>
      </c>
      <c r="E58" s="12">
        <v>7</v>
      </c>
      <c r="F58" s="8">
        <v>2.4700000000000002</v>
      </c>
      <c r="G58" s="12">
        <v>2</v>
      </c>
      <c r="H58" s="8">
        <v>1.71</v>
      </c>
      <c r="I58" s="12">
        <v>0</v>
      </c>
    </row>
    <row r="59" spans="2:9" ht="15" customHeight="1" x14ac:dyDescent="0.2">
      <c r="B59" t="s">
        <v>129</v>
      </c>
      <c r="C59" s="12">
        <v>8</v>
      </c>
      <c r="D59" s="8">
        <v>1.92</v>
      </c>
      <c r="E59" s="12">
        <v>7</v>
      </c>
      <c r="F59" s="8">
        <v>2.4700000000000002</v>
      </c>
      <c r="G59" s="12">
        <v>1</v>
      </c>
      <c r="H59" s="8">
        <v>0.85</v>
      </c>
      <c r="I59" s="12">
        <v>0</v>
      </c>
    </row>
    <row r="60" spans="2:9" ht="15" customHeight="1" x14ac:dyDescent="0.2">
      <c r="B60" t="s">
        <v>123</v>
      </c>
      <c r="C60" s="12">
        <v>7</v>
      </c>
      <c r="D60" s="8">
        <v>1.68</v>
      </c>
      <c r="E60" s="12">
        <v>3</v>
      </c>
      <c r="F60" s="8">
        <v>1.06</v>
      </c>
      <c r="G60" s="12">
        <v>4</v>
      </c>
      <c r="H60" s="8">
        <v>3.42</v>
      </c>
      <c r="I60" s="12">
        <v>0</v>
      </c>
    </row>
    <row r="61" spans="2:9" ht="15" customHeight="1" x14ac:dyDescent="0.2">
      <c r="B61" t="s">
        <v>124</v>
      </c>
      <c r="C61" s="12">
        <v>7</v>
      </c>
      <c r="D61" s="8">
        <v>1.68</v>
      </c>
      <c r="E61" s="12">
        <v>5</v>
      </c>
      <c r="F61" s="8">
        <v>1.77</v>
      </c>
      <c r="G61" s="12">
        <v>2</v>
      </c>
      <c r="H61" s="8">
        <v>1.71</v>
      </c>
      <c r="I61" s="12">
        <v>0</v>
      </c>
    </row>
    <row r="62" spans="2:9" ht="15" customHeight="1" x14ac:dyDescent="0.2">
      <c r="B62" t="s">
        <v>126</v>
      </c>
      <c r="C62" s="12">
        <v>7</v>
      </c>
      <c r="D62" s="8">
        <v>1.68</v>
      </c>
      <c r="E62" s="12">
        <v>5</v>
      </c>
      <c r="F62" s="8">
        <v>1.77</v>
      </c>
      <c r="G62" s="12">
        <v>2</v>
      </c>
      <c r="H62" s="8">
        <v>1.71</v>
      </c>
      <c r="I62" s="12">
        <v>0</v>
      </c>
    </row>
    <row r="63" spans="2:9" ht="15" customHeight="1" x14ac:dyDescent="0.2">
      <c r="B63" t="s">
        <v>132</v>
      </c>
      <c r="C63" s="12">
        <v>7</v>
      </c>
      <c r="D63" s="8">
        <v>1.68</v>
      </c>
      <c r="E63" s="12">
        <v>5</v>
      </c>
      <c r="F63" s="8">
        <v>1.77</v>
      </c>
      <c r="G63" s="12">
        <v>2</v>
      </c>
      <c r="H63" s="8">
        <v>1.71</v>
      </c>
      <c r="I63" s="12">
        <v>0</v>
      </c>
    </row>
    <row r="64" spans="2:9" ht="15" customHeight="1" x14ac:dyDescent="0.2">
      <c r="B64" t="s">
        <v>134</v>
      </c>
      <c r="C64" s="12">
        <v>7</v>
      </c>
      <c r="D64" s="8">
        <v>1.68</v>
      </c>
      <c r="E64" s="12">
        <v>7</v>
      </c>
      <c r="F64" s="8">
        <v>2.4700000000000002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165</v>
      </c>
      <c r="C65" s="12">
        <v>7</v>
      </c>
      <c r="D65" s="8">
        <v>1.68</v>
      </c>
      <c r="E65" s="12">
        <v>7</v>
      </c>
      <c r="F65" s="8">
        <v>2.4700000000000002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190</v>
      </c>
      <c r="C66" s="12">
        <v>6</v>
      </c>
      <c r="D66" s="8">
        <v>1.44</v>
      </c>
      <c r="E66" s="12">
        <v>4</v>
      </c>
      <c r="F66" s="8">
        <v>1.41</v>
      </c>
      <c r="G66" s="12">
        <v>2</v>
      </c>
      <c r="H66" s="8">
        <v>1.71</v>
      </c>
      <c r="I66" s="12">
        <v>0</v>
      </c>
    </row>
    <row r="67" spans="2:9" ht="15" customHeight="1" x14ac:dyDescent="0.2">
      <c r="B67" t="s">
        <v>194</v>
      </c>
      <c r="C67" s="12">
        <v>6</v>
      </c>
      <c r="D67" s="8">
        <v>1.44</v>
      </c>
      <c r="E67" s="12">
        <v>4</v>
      </c>
      <c r="F67" s="8">
        <v>1.41</v>
      </c>
      <c r="G67" s="12">
        <v>2</v>
      </c>
      <c r="H67" s="8">
        <v>1.71</v>
      </c>
      <c r="I67" s="12">
        <v>0</v>
      </c>
    </row>
    <row r="68" spans="2:9" ht="15" customHeight="1" x14ac:dyDescent="0.2">
      <c r="B68" t="s">
        <v>211</v>
      </c>
      <c r="C68" s="12">
        <v>6</v>
      </c>
      <c r="D68" s="8">
        <v>1.44</v>
      </c>
      <c r="E68" s="12">
        <v>3</v>
      </c>
      <c r="F68" s="8">
        <v>1.06</v>
      </c>
      <c r="G68" s="12">
        <v>3</v>
      </c>
      <c r="H68" s="8">
        <v>2.56</v>
      </c>
      <c r="I68" s="12">
        <v>0</v>
      </c>
    </row>
    <row r="69" spans="2:9" ht="15" customHeight="1" x14ac:dyDescent="0.2">
      <c r="B69" t="s">
        <v>128</v>
      </c>
      <c r="C69" s="12">
        <v>6</v>
      </c>
      <c r="D69" s="8">
        <v>1.44</v>
      </c>
      <c r="E69" s="12">
        <v>6</v>
      </c>
      <c r="F69" s="8">
        <v>2.12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135</v>
      </c>
      <c r="C70" s="12">
        <v>6</v>
      </c>
      <c r="D70" s="8">
        <v>1.44</v>
      </c>
      <c r="E70" s="12">
        <v>6</v>
      </c>
      <c r="F70" s="8">
        <v>2.12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8FBF3-8EB1-44F9-A7AD-1FBB902F69E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219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2970</v>
      </c>
      <c r="D6" s="8">
        <v>8.74</v>
      </c>
      <c r="E6" s="12">
        <v>520</v>
      </c>
      <c r="F6" s="8">
        <v>3.28</v>
      </c>
      <c r="G6" s="12">
        <v>2448</v>
      </c>
      <c r="H6" s="8">
        <v>13.6</v>
      </c>
      <c r="I6" s="12">
        <v>2</v>
      </c>
    </row>
    <row r="7" spans="2:9" ht="15" customHeight="1" x14ac:dyDescent="0.2">
      <c r="B7" t="s">
        <v>53</v>
      </c>
      <c r="C7" s="12">
        <v>2363</v>
      </c>
      <c r="D7" s="8">
        <v>6.95</v>
      </c>
      <c r="E7" s="12">
        <v>872</v>
      </c>
      <c r="F7" s="8">
        <v>5.49</v>
      </c>
      <c r="G7" s="12">
        <v>1491</v>
      </c>
      <c r="H7" s="8">
        <v>8.2799999999999994</v>
      </c>
      <c r="I7" s="12">
        <v>0</v>
      </c>
    </row>
    <row r="8" spans="2:9" ht="15" customHeight="1" x14ac:dyDescent="0.2">
      <c r="B8" t="s">
        <v>54</v>
      </c>
      <c r="C8" s="12">
        <v>47</v>
      </c>
      <c r="D8" s="8">
        <v>0.14000000000000001</v>
      </c>
      <c r="E8" s="12">
        <v>0</v>
      </c>
      <c r="F8" s="8">
        <v>0</v>
      </c>
      <c r="G8" s="12">
        <v>47</v>
      </c>
      <c r="H8" s="8">
        <v>0.26</v>
      </c>
      <c r="I8" s="12">
        <v>0</v>
      </c>
    </row>
    <row r="9" spans="2:9" ht="15" customHeight="1" x14ac:dyDescent="0.2">
      <c r="B9" t="s">
        <v>55</v>
      </c>
      <c r="C9" s="12">
        <v>444</v>
      </c>
      <c r="D9" s="8">
        <v>1.31</v>
      </c>
      <c r="E9" s="12">
        <v>22</v>
      </c>
      <c r="F9" s="8">
        <v>0.14000000000000001</v>
      </c>
      <c r="G9" s="12">
        <v>422</v>
      </c>
      <c r="H9" s="8">
        <v>2.34</v>
      </c>
      <c r="I9" s="12">
        <v>0</v>
      </c>
    </row>
    <row r="10" spans="2:9" ht="15" customHeight="1" x14ac:dyDescent="0.2">
      <c r="B10" t="s">
        <v>56</v>
      </c>
      <c r="C10" s="12">
        <v>567</v>
      </c>
      <c r="D10" s="8">
        <v>1.67</v>
      </c>
      <c r="E10" s="12">
        <v>79</v>
      </c>
      <c r="F10" s="8">
        <v>0.5</v>
      </c>
      <c r="G10" s="12">
        <v>488</v>
      </c>
      <c r="H10" s="8">
        <v>2.71</v>
      </c>
      <c r="I10" s="12">
        <v>0</v>
      </c>
    </row>
    <row r="11" spans="2:9" ht="15" customHeight="1" x14ac:dyDescent="0.2">
      <c r="B11" t="s">
        <v>57</v>
      </c>
      <c r="C11" s="12">
        <v>7994</v>
      </c>
      <c r="D11" s="8">
        <v>23.52</v>
      </c>
      <c r="E11" s="12">
        <v>3155</v>
      </c>
      <c r="F11" s="8">
        <v>19.88</v>
      </c>
      <c r="G11" s="12">
        <v>4832</v>
      </c>
      <c r="H11" s="8">
        <v>26.84</v>
      </c>
      <c r="I11" s="12">
        <v>7</v>
      </c>
    </row>
    <row r="12" spans="2:9" ht="15" customHeight="1" x14ac:dyDescent="0.2">
      <c r="B12" t="s">
        <v>58</v>
      </c>
      <c r="C12" s="12">
        <v>230</v>
      </c>
      <c r="D12" s="8">
        <v>0.68</v>
      </c>
      <c r="E12" s="12">
        <v>17</v>
      </c>
      <c r="F12" s="8">
        <v>0.11</v>
      </c>
      <c r="G12" s="12">
        <v>213</v>
      </c>
      <c r="H12" s="8">
        <v>1.18</v>
      </c>
      <c r="I12" s="12">
        <v>0</v>
      </c>
    </row>
    <row r="13" spans="2:9" ht="15" customHeight="1" x14ac:dyDescent="0.2">
      <c r="B13" t="s">
        <v>59</v>
      </c>
      <c r="C13" s="12">
        <v>4072</v>
      </c>
      <c r="D13" s="8">
        <v>11.98</v>
      </c>
      <c r="E13" s="12">
        <v>930</v>
      </c>
      <c r="F13" s="8">
        <v>5.86</v>
      </c>
      <c r="G13" s="12">
        <v>3135</v>
      </c>
      <c r="H13" s="8">
        <v>17.41</v>
      </c>
      <c r="I13" s="12">
        <v>7</v>
      </c>
    </row>
    <row r="14" spans="2:9" ht="15" customHeight="1" x14ac:dyDescent="0.2">
      <c r="B14" t="s">
        <v>60</v>
      </c>
      <c r="C14" s="12">
        <v>2515</v>
      </c>
      <c r="D14" s="8">
        <v>7.4</v>
      </c>
      <c r="E14" s="12">
        <v>1222</v>
      </c>
      <c r="F14" s="8">
        <v>7.7</v>
      </c>
      <c r="G14" s="12">
        <v>1279</v>
      </c>
      <c r="H14" s="8">
        <v>7.1</v>
      </c>
      <c r="I14" s="12">
        <v>8</v>
      </c>
    </row>
    <row r="15" spans="2:9" ht="15" customHeight="1" x14ac:dyDescent="0.2">
      <c r="B15" t="s">
        <v>61</v>
      </c>
      <c r="C15" s="12">
        <v>5220</v>
      </c>
      <c r="D15" s="8">
        <v>15.36</v>
      </c>
      <c r="E15" s="12">
        <v>4432</v>
      </c>
      <c r="F15" s="8">
        <v>27.92</v>
      </c>
      <c r="G15" s="12">
        <v>786</v>
      </c>
      <c r="H15" s="8">
        <v>4.37</v>
      </c>
      <c r="I15" s="12">
        <v>0</v>
      </c>
    </row>
    <row r="16" spans="2:9" ht="15" customHeight="1" x14ac:dyDescent="0.2">
      <c r="B16" t="s">
        <v>62</v>
      </c>
      <c r="C16" s="12">
        <v>3361</v>
      </c>
      <c r="D16" s="8">
        <v>9.89</v>
      </c>
      <c r="E16" s="12">
        <v>2458</v>
      </c>
      <c r="F16" s="8">
        <v>15.48</v>
      </c>
      <c r="G16" s="12">
        <v>898</v>
      </c>
      <c r="H16" s="8">
        <v>4.99</v>
      </c>
      <c r="I16" s="12">
        <v>2</v>
      </c>
    </row>
    <row r="17" spans="2:9" ht="15" customHeight="1" x14ac:dyDescent="0.2">
      <c r="B17" t="s">
        <v>63</v>
      </c>
      <c r="C17" s="12">
        <v>1252</v>
      </c>
      <c r="D17" s="8">
        <v>3.68</v>
      </c>
      <c r="E17" s="12">
        <v>821</v>
      </c>
      <c r="F17" s="8">
        <v>5.17</v>
      </c>
      <c r="G17" s="12">
        <v>415</v>
      </c>
      <c r="H17" s="8">
        <v>2.2999999999999998</v>
      </c>
      <c r="I17" s="12">
        <v>11</v>
      </c>
    </row>
    <row r="18" spans="2:9" ht="15" customHeight="1" x14ac:dyDescent="0.2">
      <c r="B18" t="s">
        <v>64</v>
      </c>
      <c r="C18" s="12">
        <v>1745</v>
      </c>
      <c r="D18" s="8">
        <v>5.13</v>
      </c>
      <c r="E18" s="12">
        <v>1033</v>
      </c>
      <c r="F18" s="8">
        <v>6.51</v>
      </c>
      <c r="G18" s="12">
        <v>696</v>
      </c>
      <c r="H18" s="8">
        <v>3.87</v>
      </c>
      <c r="I18" s="12">
        <v>5</v>
      </c>
    </row>
    <row r="19" spans="2:9" ht="15" customHeight="1" x14ac:dyDescent="0.2">
      <c r="B19" t="s">
        <v>65</v>
      </c>
      <c r="C19" s="12">
        <v>1206</v>
      </c>
      <c r="D19" s="8">
        <v>3.55</v>
      </c>
      <c r="E19" s="12">
        <v>313</v>
      </c>
      <c r="F19" s="8">
        <v>1.97</v>
      </c>
      <c r="G19" s="12">
        <v>855</v>
      </c>
      <c r="H19" s="8">
        <v>4.75</v>
      </c>
      <c r="I19" s="12">
        <v>11</v>
      </c>
    </row>
    <row r="20" spans="2:9" ht="15" customHeight="1" x14ac:dyDescent="0.2">
      <c r="B20" s="9" t="s">
        <v>215</v>
      </c>
      <c r="C20" s="12">
        <f>SUM(LTBL_28100[総数／事業所数])</f>
        <v>33986</v>
      </c>
      <c r="E20" s="12">
        <f>SUBTOTAL(109,LTBL_28100[個人／事業所数])</f>
        <v>15874</v>
      </c>
      <c r="G20" s="12">
        <f>SUBTOTAL(109,LTBL_28100[法人／事業所数])</f>
        <v>18005</v>
      </c>
      <c r="I20" s="12">
        <f>SUBTOTAL(109,LTBL_28100[法人以外の団体／事業所数])</f>
        <v>53</v>
      </c>
    </row>
    <row r="21" spans="2:9" ht="15" customHeight="1" x14ac:dyDescent="0.2">
      <c r="E21" s="11">
        <f>LTBL_28100[[#Totals],[個人／事業所数]]/LTBL_28100[[#Totals],[総数／事業所数]]</f>
        <v>0.46707467780850936</v>
      </c>
      <c r="G21" s="11">
        <f>LTBL_28100[[#Totals],[法人／事業所数]]/LTBL_28100[[#Totals],[総数／事業所数]]</f>
        <v>0.52977696698640619</v>
      </c>
      <c r="I21" s="11">
        <f>LTBL_28100[[#Totals],[法人以外の団体／事業所数]]/LTBL_28100[[#Totals],[総数／事業所数]]</f>
        <v>1.5594656623315482E-3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4925</v>
      </c>
      <c r="D24" s="8">
        <v>14.49</v>
      </c>
      <c r="E24" s="12">
        <v>4338</v>
      </c>
      <c r="F24" s="8">
        <v>27.33</v>
      </c>
      <c r="G24" s="12">
        <v>587</v>
      </c>
      <c r="H24" s="8">
        <v>3.26</v>
      </c>
      <c r="I24" s="12">
        <v>0</v>
      </c>
    </row>
    <row r="25" spans="2:9" ht="15" customHeight="1" x14ac:dyDescent="0.2">
      <c r="B25" t="s">
        <v>85</v>
      </c>
      <c r="C25" s="12">
        <v>3146</v>
      </c>
      <c r="D25" s="8">
        <v>9.26</v>
      </c>
      <c r="E25" s="12">
        <v>810</v>
      </c>
      <c r="F25" s="8">
        <v>5.0999999999999996</v>
      </c>
      <c r="G25" s="12">
        <v>2329</v>
      </c>
      <c r="H25" s="8">
        <v>12.94</v>
      </c>
      <c r="I25" s="12">
        <v>7</v>
      </c>
    </row>
    <row r="26" spans="2:9" ht="15" customHeight="1" x14ac:dyDescent="0.2">
      <c r="B26" t="s">
        <v>89</v>
      </c>
      <c r="C26" s="12">
        <v>2687</v>
      </c>
      <c r="D26" s="8">
        <v>7.91</v>
      </c>
      <c r="E26" s="12">
        <v>2168</v>
      </c>
      <c r="F26" s="8">
        <v>13.66</v>
      </c>
      <c r="G26" s="12">
        <v>519</v>
      </c>
      <c r="H26" s="8">
        <v>2.88</v>
      </c>
      <c r="I26" s="12">
        <v>0</v>
      </c>
    </row>
    <row r="27" spans="2:9" ht="15" customHeight="1" x14ac:dyDescent="0.2">
      <c r="B27" t="s">
        <v>83</v>
      </c>
      <c r="C27" s="12">
        <v>1918</v>
      </c>
      <c r="D27" s="8">
        <v>5.64</v>
      </c>
      <c r="E27" s="12">
        <v>930</v>
      </c>
      <c r="F27" s="8">
        <v>5.86</v>
      </c>
      <c r="G27" s="12">
        <v>985</v>
      </c>
      <c r="H27" s="8">
        <v>5.47</v>
      </c>
      <c r="I27" s="12">
        <v>3</v>
      </c>
    </row>
    <row r="28" spans="2:9" ht="15" customHeight="1" x14ac:dyDescent="0.2">
      <c r="B28" t="s">
        <v>86</v>
      </c>
      <c r="C28" s="12">
        <v>1646</v>
      </c>
      <c r="D28" s="8">
        <v>4.84</v>
      </c>
      <c r="E28" s="12">
        <v>980</v>
      </c>
      <c r="F28" s="8">
        <v>6.17</v>
      </c>
      <c r="G28" s="12">
        <v>660</v>
      </c>
      <c r="H28" s="8">
        <v>3.67</v>
      </c>
      <c r="I28" s="12">
        <v>6</v>
      </c>
    </row>
    <row r="29" spans="2:9" ht="15" customHeight="1" x14ac:dyDescent="0.2">
      <c r="B29" t="s">
        <v>81</v>
      </c>
      <c r="C29" s="12">
        <v>1529</v>
      </c>
      <c r="D29" s="8">
        <v>4.5</v>
      </c>
      <c r="E29" s="12">
        <v>991</v>
      </c>
      <c r="F29" s="8">
        <v>6.24</v>
      </c>
      <c r="G29" s="12">
        <v>536</v>
      </c>
      <c r="H29" s="8">
        <v>2.98</v>
      </c>
      <c r="I29" s="12">
        <v>2</v>
      </c>
    </row>
    <row r="30" spans="2:9" ht="15" customHeight="1" x14ac:dyDescent="0.2">
      <c r="B30" t="s">
        <v>74</v>
      </c>
      <c r="C30" s="12">
        <v>1275</v>
      </c>
      <c r="D30" s="8">
        <v>3.75</v>
      </c>
      <c r="E30" s="12">
        <v>176</v>
      </c>
      <c r="F30" s="8">
        <v>1.1100000000000001</v>
      </c>
      <c r="G30" s="12">
        <v>1098</v>
      </c>
      <c r="H30" s="8">
        <v>6.1</v>
      </c>
      <c r="I30" s="12">
        <v>1</v>
      </c>
    </row>
    <row r="31" spans="2:9" ht="15" customHeight="1" x14ac:dyDescent="0.2">
      <c r="B31" t="s">
        <v>80</v>
      </c>
      <c r="C31" s="12">
        <v>1254</v>
      </c>
      <c r="D31" s="8">
        <v>3.69</v>
      </c>
      <c r="E31" s="12">
        <v>547</v>
      </c>
      <c r="F31" s="8">
        <v>3.45</v>
      </c>
      <c r="G31" s="12">
        <v>707</v>
      </c>
      <c r="H31" s="8">
        <v>3.93</v>
      </c>
      <c r="I31" s="12">
        <v>0</v>
      </c>
    </row>
    <row r="32" spans="2:9" ht="15" customHeight="1" x14ac:dyDescent="0.2">
      <c r="B32" t="s">
        <v>91</v>
      </c>
      <c r="C32" s="12">
        <v>1252</v>
      </c>
      <c r="D32" s="8">
        <v>3.68</v>
      </c>
      <c r="E32" s="12">
        <v>821</v>
      </c>
      <c r="F32" s="8">
        <v>5.17</v>
      </c>
      <c r="G32" s="12">
        <v>415</v>
      </c>
      <c r="H32" s="8">
        <v>2.2999999999999998</v>
      </c>
      <c r="I32" s="12">
        <v>11</v>
      </c>
    </row>
    <row r="33" spans="2:9" ht="15" customHeight="1" x14ac:dyDescent="0.2">
      <c r="B33" t="s">
        <v>92</v>
      </c>
      <c r="C33" s="12">
        <v>1194</v>
      </c>
      <c r="D33" s="8">
        <v>3.51</v>
      </c>
      <c r="E33" s="12">
        <v>1018</v>
      </c>
      <c r="F33" s="8">
        <v>6.41</v>
      </c>
      <c r="G33" s="12">
        <v>175</v>
      </c>
      <c r="H33" s="8">
        <v>0.97</v>
      </c>
      <c r="I33" s="12">
        <v>1</v>
      </c>
    </row>
    <row r="34" spans="2:9" ht="15" customHeight="1" x14ac:dyDescent="0.2">
      <c r="B34" t="s">
        <v>76</v>
      </c>
      <c r="C34" s="12">
        <v>863</v>
      </c>
      <c r="D34" s="8">
        <v>2.54</v>
      </c>
      <c r="E34" s="12">
        <v>149</v>
      </c>
      <c r="F34" s="8">
        <v>0.94</v>
      </c>
      <c r="G34" s="12">
        <v>714</v>
      </c>
      <c r="H34" s="8">
        <v>3.97</v>
      </c>
      <c r="I34" s="12">
        <v>0</v>
      </c>
    </row>
    <row r="35" spans="2:9" ht="15" customHeight="1" x14ac:dyDescent="0.2">
      <c r="B35" t="s">
        <v>75</v>
      </c>
      <c r="C35" s="12">
        <v>832</v>
      </c>
      <c r="D35" s="8">
        <v>2.4500000000000002</v>
      </c>
      <c r="E35" s="12">
        <v>195</v>
      </c>
      <c r="F35" s="8">
        <v>1.23</v>
      </c>
      <c r="G35" s="12">
        <v>636</v>
      </c>
      <c r="H35" s="8">
        <v>3.53</v>
      </c>
      <c r="I35" s="12">
        <v>1</v>
      </c>
    </row>
    <row r="36" spans="2:9" ht="15" customHeight="1" x14ac:dyDescent="0.2">
      <c r="B36" t="s">
        <v>84</v>
      </c>
      <c r="C36" s="12">
        <v>789</v>
      </c>
      <c r="D36" s="8">
        <v>2.3199999999999998</v>
      </c>
      <c r="E36" s="12">
        <v>106</v>
      </c>
      <c r="F36" s="8">
        <v>0.67</v>
      </c>
      <c r="G36" s="12">
        <v>683</v>
      </c>
      <c r="H36" s="8">
        <v>3.79</v>
      </c>
      <c r="I36" s="12">
        <v>0</v>
      </c>
    </row>
    <row r="37" spans="2:9" ht="15" customHeight="1" x14ac:dyDescent="0.2">
      <c r="B37" t="s">
        <v>87</v>
      </c>
      <c r="C37" s="12">
        <v>770</v>
      </c>
      <c r="D37" s="8">
        <v>2.27</v>
      </c>
      <c r="E37" s="12">
        <v>238</v>
      </c>
      <c r="F37" s="8">
        <v>1.5</v>
      </c>
      <c r="G37" s="12">
        <v>527</v>
      </c>
      <c r="H37" s="8">
        <v>2.93</v>
      </c>
      <c r="I37" s="12">
        <v>0</v>
      </c>
    </row>
    <row r="38" spans="2:9" ht="15" customHeight="1" x14ac:dyDescent="0.2">
      <c r="B38" t="s">
        <v>82</v>
      </c>
      <c r="C38" s="12">
        <v>687</v>
      </c>
      <c r="D38" s="8">
        <v>2.02</v>
      </c>
      <c r="E38" s="12">
        <v>368</v>
      </c>
      <c r="F38" s="8">
        <v>2.3199999999999998</v>
      </c>
      <c r="G38" s="12">
        <v>319</v>
      </c>
      <c r="H38" s="8">
        <v>1.77</v>
      </c>
      <c r="I38" s="12">
        <v>0</v>
      </c>
    </row>
    <row r="39" spans="2:9" ht="15" customHeight="1" x14ac:dyDescent="0.2">
      <c r="B39" t="s">
        <v>78</v>
      </c>
      <c r="C39" s="12">
        <v>570</v>
      </c>
      <c r="D39" s="8">
        <v>1.68</v>
      </c>
      <c r="E39" s="12">
        <v>44</v>
      </c>
      <c r="F39" s="8">
        <v>0.28000000000000003</v>
      </c>
      <c r="G39" s="12">
        <v>526</v>
      </c>
      <c r="H39" s="8">
        <v>2.92</v>
      </c>
      <c r="I39" s="12">
        <v>0</v>
      </c>
    </row>
    <row r="40" spans="2:9" ht="15" customHeight="1" x14ac:dyDescent="0.2">
      <c r="B40" t="s">
        <v>79</v>
      </c>
      <c r="C40" s="12">
        <v>569</v>
      </c>
      <c r="D40" s="8">
        <v>1.67</v>
      </c>
      <c r="E40" s="12">
        <v>84</v>
      </c>
      <c r="F40" s="8">
        <v>0.53</v>
      </c>
      <c r="G40" s="12">
        <v>483</v>
      </c>
      <c r="H40" s="8">
        <v>2.68</v>
      </c>
      <c r="I40" s="12">
        <v>2</v>
      </c>
    </row>
    <row r="41" spans="2:9" ht="15" customHeight="1" x14ac:dyDescent="0.2">
      <c r="B41" t="s">
        <v>93</v>
      </c>
      <c r="C41" s="12">
        <v>551</v>
      </c>
      <c r="D41" s="8">
        <v>1.62</v>
      </c>
      <c r="E41" s="12">
        <v>15</v>
      </c>
      <c r="F41" s="8">
        <v>0.09</v>
      </c>
      <c r="G41" s="12">
        <v>521</v>
      </c>
      <c r="H41" s="8">
        <v>2.89</v>
      </c>
      <c r="I41" s="12">
        <v>4</v>
      </c>
    </row>
    <row r="42" spans="2:9" ht="15" customHeight="1" x14ac:dyDescent="0.2">
      <c r="B42" t="s">
        <v>94</v>
      </c>
      <c r="C42" s="12">
        <v>530</v>
      </c>
      <c r="D42" s="8">
        <v>1.56</v>
      </c>
      <c r="E42" s="12">
        <v>45</v>
      </c>
      <c r="F42" s="8">
        <v>0.28000000000000003</v>
      </c>
      <c r="G42" s="12">
        <v>478</v>
      </c>
      <c r="H42" s="8">
        <v>2.65</v>
      </c>
      <c r="I42" s="12">
        <v>7</v>
      </c>
    </row>
    <row r="43" spans="2:9" ht="15" customHeight="1" x14ac:dyDescent="0.2">
      <c r="B43" t="s">
        <v>90</v>
      </c>
      <c r="C43" s="12">
        <v>468</v>
      </c>
      <c r="D43" s="8">
        <v>1.38</v>
      </c>
      <c r="E43" s="12">
        <v>186</v>
      </c>
      <c r="F43" s="8">
        <v>1.17</v>
      </c>
      <c r="G43" s="12">
        <v>280</v>
      </c>
      <c r="H43" s="8">
        <v>1.56</v>
      </c>
      <c r="I43" s="12">
        <v>1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132</v>
      </c>
      <c r="C47" s="12">
        <v>1644</v>
      </c>
      <c r="D47" s="8">
        <v>4.84</v>
      </c>
      <c r="E47" s="12">
        <v>488</v>
      </c>
      <c r="F47" s="8">
        <v>3.07</v>
      </c>
      <c r="G47" s="12">
        <v>1156</v>
      </c>
      <c r="H47" s="8">
        <v>6.42</v>
      </c>
      <c r="I47" s="12">
        <v>0</v>
      </c>
    </row>
    <row r="48" spans="2:9" ht="15" customHeight="1" x14ac:dyDescent="0.2">
      <c r="B48" t="s">
        <v>138</v>
      </c>
      <c r="C48" s="12">
        <v>1313</v>
      </c>
      <c r="D48" s="8">
        <v>3.86</v>
      </c>
      <c r="E48" s="12">
        <v>1152</v>
      </c>
      <c r="F48" s="8">
        <v>7.26</v>
      </c>
      <c r="G48" s="12">
        <v>161</v>
      </c>
      <c r="H48" s="8">
        <v>0.89</v>
      </c>
      <c r="I48" s="12">
        <v>0</v>
      </c>
    </row>
    <row r="49" spans="2:9" ht="15" customHeight="1" x14ac:dyDescent="0.2">
      <c r="B49" t="s">
        <v>133</v>
      </c>
      <c r="C49" s="12">
        <v>1173</v>
      </c>
      <c r="D49" s="8">
        <v>3.45</v>
      </c>
      <c r="E49" s="12">
        <v>949</v>
      </c>
      <c r="F49" s="8">
        <v>5.98</v>
      </c>
      <c r="G49" s="12">
        <v>224</v>
      </c>
      <c r="H49" s="8">
        <v>1.24</v>
      </c>
      <c r="I49" s="12">
        <v>0</v>
      </c>
    </row>
    <row r="50" spans="2:9" ht="15" customHeight="1" x14ac:dyDescent="0.2">
      <c r="B50" t="s">
        <v>135</v>
      </c>
      <c r="C50" s="12">
        <v>1019</v>
      </c>
      <c r="D50" s="8">
        <v>3</v>
      </c>
      <c r="E50" s="12">
        <v>976</v>
      </c>
      <c r="F50" s="8">
        <v>6.15</v>
      </c>
      <c r="G50" s="12">
        <v>43</v>
      </c>
      <c r="H50" s="8">
        <v>0.24</v>
      </c>
      <c r="I50" s="12">
        <v>0</v>
      </c>
    </row>
    <row r="51" spans="2:9" ht="15" customHeight="1" x14ac:dyDescent="0.2">
      <c r="B51" t="s">
        <v>136</v>
      </c>
      <c r="C51" s="12">
        <v>951</v>
      </c>
      <c r="D51" s="8">
        <v>2.8</v>
      </c>
      <c r="E51" s="12">
        <v>861</v>
      </c>
      <c r="F51" s="8">
        <v>5.42</v>
      </c>
      <c r="G51" s="12">
        <v>90</v>
      </c>
      <c r="H51" s="8">
        <v>0.5</v>
      </c>
      <c r="I51" s="12">
        <v>0</v>
      </c>
    </row>
    <row r="52" spans="2:9" ht="15" customHeight="1" x14ac:dyDescent="0.2">
      <c r="B52" t="s">
        <v>134</v>
      </c>
      <c r="C52" s="12">
        <v>861</v>
      </c>
      <c r="D52" s="8">
        <v>2.5299999999999998</v>
      </c>
      <c r="E52" s="12">
        <v>774</v>
      </c>
      <c r="F52" s="8">
        <v>4.88</v>
      </c>
      <c r="G52" s="12">
        <v>87</v>
      </c>
      <c r="H52" s="8">
        <v>0.48</v>
      </c>
      <c r="I52" s="12">
        <v>0</v>
      </c>
    </row>
    <row r="53" spans="2:9" ht="15" customHeight="1" x14ac:dyDescent="0.2">
      <c r="B53" t="s">
        <v>141</v>
      </c>
      <c r="C53" s="12">
        <v>818</v>
      </c>
      <c r="D53" s="8">
        <v>2.41</v>
      </c>
      <c r="E53" s="12">
        <v>706</v>
      </c>
      <c r="F53" s="8">
        <v>4.45</v>
      </c>
      <c r="G53" s="12">
        <v>111</v>
      </c>
      <c r="H53" s="8">
        <v>0.62</v>
      </c>
      <c r="I53" s="12">
        <v>1</v>
      </c>
    </row>
    <row r="54" spans="2:9" ht="15" customHeight="1" x14ac:dyDescent="0.2">
      <c r="B54" t="s">
        <v>140</v>
      </c>
      <c r="C54" s="12">
        <v>792</v>
      </c>
      <c r="D54" s="8">
        <v>2.33</v>
      </c>
      <c r="E54" s="12">
        <v>576</v>
      </c>
      <c r="F54" s="8">
        <v>3.63</v>
      </c>
      <c r="G54" s="12">
        <v>207</v>
      </c>
      <c r="H54" s="8">
        <v>1.1499999999999999</v>
      </c>
      <c r="I54" s="12">
        <v>9</v>
      </c>
    </row>
    <row r="55" spans="2:9" ht="15" customHeight="1" x14ac:dyDescent="0.2">
      <c r="B55" t="s">
        <v>129</v>
      </c>
      <c r="C55" s="12">
        <v>765</v>
      </c>
      <c r="D55" s="8">
        <v>2.25</v>
      </c>
      <c r="E55" s="12">
        <v>468</v>
      </c>
      <c r="F55" s="8">
        <v>2.95</v>
      </c>
      <c r="G55" s="12">
        <v>295</v>
      </c>
      <c r="H55" s="8">
        <v>1.64</v>
      </c>
      <c r="I55" s="12">
        <v>2</v>
      </c>
    </row>
    <row r="56" spans="2:9" ht="15" customHeight="1" x14ac:dyDescent="0.2">
      <c r="B56" t="s">
        <v>137</v>
      </c>
      <c r="C56" s="12">
        <v>658</v>
      </c>
      <c r="D56" s="8">
        <v>1.94</v>
      </c>
      <c r="E56" s="12">
        <v>600</v>
      </c>
      <c r="F56" s="8">
        <v>3.78</v>
      </c>
      <c r="G56" s="12">
        <v>58</v>
      </c>
      <c r="H56" s="8">
        <v>0.32</v>
      </c>
      <c r="I56" s="12">
        <v>0</v>
      </c>
    </row>
    <row r="57" spans="2:9" ht="15" customHeight="1" x14ac:dyDescent="0.2">
      <c r="B57" t="s">
        <v>131</v>
      </c>
      <c r="C57" s="12">
        <v>652</v>
      </c>
      <c r="D57" s="8">
        <v>1.92</v>
      </c>
      <c r="E57" s="12">
        <v>81</v>
      </c>
      <c r="F57" s="8">
        <v>0.51</v>
      </c>
      <c r="G57" s="12">
        <v>571</v>
      </c>
      <c r="H57" s="8">
        <v>3.17</v>
      </c>
      <c r="I57" s="12">
        <v>0</v>
      </c>
    </row>
    <row r="58" spans="2:9" ht="15" customHeight="1" x14ac:dyDescent="0.2">
      <c r="B58" t="s">
        <v>130</v>
      </c>
      <c r="C58" s="12">
        <v>601</v>
      </c>
      <c r="D58" s="8">
        <v>1.77</v>
      </c>
      <c r="E58" s="12">
        <v>95</v>
      </c>
      <c r="F58" s="8">
        <v>0.6</v>
      </c>
      <c r="G58" s="12">
        <v>506</v>
      </c>
      <c r="H58" s="8">
        <v>2.81</v>
      </c>
      <c r="I58" s="12">
        <v>0</v>
      </c>
    </row>
    <row r="59" spans="2:9" ht="15" customHeight="1" x14ac:dyDescent="0.2">
      <c r="B59" t="s">
        <v>125</v>
      </c>
      <c r="C59" s="12">
        <v>574</v>
      </c>
      <c r="D59" s="8">
        <v>1.69</v>
      </c>
      <c r="E59" s="12">
        <v>253</v>
      </c>
      <c r="F59" s="8">
        <v>1.59</v>
      </c>
      <c r="G59" s="12">
        <v>321</v>
      </c>
      <c r="H59" s="8">
        <v>1.78</v>
      </c>
      <c r="I59" s="12">
        <v>0</v>
      </c>
    </row>
    <row r="60" spans="2:9" ht="15" customHeight="1" x14ac:dyDescent="0.2">
      <c r="B60" t="s">
        <v>126</v>
      </c>
      <c r="C60" s="12">
        <v>561</v>
      </c>
      <c r="D60" s="8">
        <v>1.65</v>
      </c>
      <c r="E60" s="12">
        <v>332</v>
      </c>
      <c r="F60" s="8">
        <v>2.09</v>
      </c>
      <c r="G60" s="12">
        <v>229</v>
      </c>
      <c r="H60" s="8">
        <v>1.27</v>
      </c>
      <c r="I60" s="12">
        <v>0</v>
      </c>
    </row>
    <row r="61" spans="2:9" ht="15" customHeight="1" x14ac:dyDescent="0.2">
      <c r="B61" t="s">
        <v>144</v>
      </c>
      <c r="C61" s="12">
        <v>463</v>
      </c>
      <c r="D61" s="8">
        <v>1.36</v>
      </c>
      <c r="E61" s="12">
        <v>138</v>
      </c>
      <c r="F61" s="8">
        <v>0.87</v>
      </c>
      <c r="G61" s="12">
        <v>320</v>
      </c>
      <c r="H61" s="8">
        <v>1.78</v>
      </c>
      <c r="I61" s="12">
        <v>0</v>
      </c>
    </row>
    <row r="62" spans="2:9" ht="15" customHeight="1" x14ac:dyDescent="0.2">
      <c r="B62" t="s">
        <v>143</v>
      </c>
      <c r="C62" s="12">
        <v>460</v>
      </c>
      <c r="D62" s="8">
        <v>1.35</v>
      </c>
      <c r="E62" s="12">
        <v>31</v>
      </c>
      <c r="F62" s="8">
        <v>0.2</v>
      </c>
      <c r="G62" s="12">
        <v>423</v>
      </c>
      <c r="H62" s="8">
        <v>2.35</v>
      </c>
      <c r="I62" s="12">
        <v>6</v>
      </c>
    </row>
    <row r="63" spans="2:9" ht="15" customHeight="1" x14ac:dyDescent="0.2">
      <c r="B63" t="s">
        <v>145</v>
      </c>
      <c r="C63" s="12">
        <v>409</v>
      </c>
      <c r="D63" s="8">
        <v>1.2</v>
      </c>
      <c r="E63" s="12">
        <v>380</v>
      </c>
      <c r="F63" s="8">
        <v>2.39</v>
      </c>
      <c r="G63" s="12">
        <v>29</v>
      </c>
      <c r="H63" s="8">
        <v>0.16</v>
      </c>
      <c r="I63" s="12">
        <v>0</v>
      </c>
    </row>
    <row r="64" spans="2:9" ht="15" customHeight="1" x14ac:dyDescent="0.2">
      <c r="B64" t="s">
        <v>128</v>
      </c>
      <c r="C64" s="12">
        <v>396</v>
      </c>
      <c r="D64" s="8">
        <v>1.17</v>
      </c>
      <c r="E64" s="12">
        <v>127</v>
      </c>
      <c r="F64" s="8">
        <v>0.8</v>
      </c>
      <c r="G64" s="12">
        <v>268</v>
      </c>
      <c r="H64" s="8">
        <v>1.49</v>
      </c>
      <c r="I64" s="12">
        <v>1</v>
      </c>
    </row>
    <row r="65" spans="2:9" ht="15" customHeight="1" x14ac:dyDescent="0.2">
      <c r="B65" t="s">
        <v>146</v>
      </c>
      <c r="C65" s="12">
        <v>394</v>
      </c>
      <c r="D65" s="8">
        <v>1.1599999999999999</v>
      </c>
      <c r="E65" s="12">
        <v>202</v>
      </c>
      <c r="F65" s="8">
        <v>1.27</v>
      </c>
      <c r="G65" s="12">
        <v>192</v>
      </c>
      <c r="H65" s="8">
        <v>1.07</v>
      </c>
      <c r="I65" s="12">
        <v>0</v>
      </c>
    </row>
    <row r="66" spans="2:9" ht="15" customHeight="1" x14ac:dyDescent="0.2">
      <c r="B66" t="s">
        <v>142</v>
      </c>
      <c r="C66" s="12">
        <v>386</v>
      </c>
      <c r="D66" s="8">
        <v>1.1399999999999999</v>
      </c>
      <c r="E66" s="12">
        <v>210</v>
      </c>
      <c r="F66" s="8">
        <v>1.32</v>
      </c>
      <c r="G66" s="12">
        <v>175</v>
      </c>
      <c r="H66" s="8">
        <v>0.97</v>
      </c>
      <c r="I66" s="12">
        <v>1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8BBA-3284-4C3D-BDB8-1E3006D3F89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220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301</v>
      </c>
      <c r="D6" s="8">
        <v>7.9</v>
      </c>
      <c r="E6" s="12">
        <v>50</v>
      </c>
      <c r="F6" s="8">
        <v>3.26</v>
      </c>
      <c r="G6" s="12">
        <v>251</v>
      </c>
      <c r="H6" s="8">
        <v>11.15</v>
      </c>
      <c r="I6" s="12">
        <v>0</v>
      </c>
    </row>
    <row r="7" spans="2:9" ht="15" customHeight="1" x14ac:dyDescent="0.2">
      <c r="B7" t="s">
        <v>53</v>
      </c>
      <c r="C7" s="12">
        <v>156</v>
      </c>
      <c r="D7" s="8">
        <v>4.0999999999999996</v>
      </c>
      <c r="E7" s="12">
        <v>32</v>
      </c>
      <c r="F7" s="8">
        <v>2.08</v>
      </c>
      <c r="G7" s="12">
        <v>124</v>
      </c>
      <c r="H7" s="8">
        <v>5.51</v>
      </c>
      <c r="I7" s="12">
        <v>0</v>
      </c>
    </row>
    <row r="8" spans="2:9" ht="15" customHeight="1" x14ac:dyDescent="0.2">
      <c r="B8" t="s">
        <v>54</v>
      </c>
      <c r="C8" s="12">
        <v>6</v>
      </c>
      <c r="D8" s="8">
        <v>0.16</v>
      </c>
      <c r="E8" s="12">
        <v>0</v>
      </c>
      <c r="F8" s="8">
        <v>0</v>
      </c>
      <c r="G8" s="12">
        <v>6</v>
      </c>
      <c r="H8" s="8">
        <v>0.27</v>
      </c>
      <c r="I8" s="12">
        <v>0</v>
      </c>
    </row>
    <row r="9" spans="2:9" ht="15" customHeight="1" x14ac:dyDescent="0.2">
      <c r="B9" t="s">
        <v>55</v>
      </c>
      <c r="C9" s="12">
        <v>78</v>
      </c>
      <c r="D9" s="8">
        <v>2.0499999999999998</v>
      </c>
      <c r="E9" s="12">
        <v>1</v>
      </c>
      <c r="F9" s="8">
        <v>7.0000000000000007E-2</v>
      </c>
      <c r="G9" s="12">
        <v>77</v>
      </c>
      <c r="H9" s="8">
        <v>3.42</v>
      </c>
      <c r="I9" s="12">
        <v>0</v>
      </c>
    </row>
    <row r="10" spans="2:9" ht="15" customHeight="1" x14ac:dyDescent="0.2">
      <c r="B10" t="s">
        <v>56</v>
      </c>
      <c r="C10" s="12">
        <v>92</v>
      </c>
      <c r="D10" s="8">
        <v>2.42</v>
      </c>
      <c r="E10" s="12">
        <v>4</v>
      </c>
      <c r="F10" s="8">
        <v>0.26</v>
      </c>
      <c r="G10" s="12">
        <v>88</v>
      </c>
      <c r="H10" s="8">
        <v>3.91</v>
      </c>
      <c r="I10" s="12">
        <v>0</v>
      </c>
    </row>
    <row r="11" spans="2:9" ht="15" customHeight="1" x14ac:dyDescent="0.2">
      <c r="B11" t="s">
        <v>57</v>
      </c>
      <c r="C11" s="12">
        <v>853</v>
      </c>
      <c r="D11" s="8">
        <v>22.4</v>
      </c>
      <c r="E11" s="12">
        <v>314</v>
      </c>
      <c r="F11" s="8">
        <v>20.46</v>
      </c>
      <c r="G11" s="12">
        <v>536</v>
      </c>
      <c r="H11" s="8">
        <v>23.81</v>
      </c>
      <c r="I11" s="12">
        <v>3</v>
      </c>
    </row>
    <row r="12" spans="2:9" ht="15" customHeight="1" x14ac:dyDescent="0.2">
      <c r="B12" t="s">
        <v>58</v>
      </c>
      <c r="C12" s="12">
        <v>21</v>
      </c>
      <c r="D12" s="8">
        <v>0.55000000000000004</v>
      </c>
      <c r="E12" s="12">
        <v>3</v>
      </c>
      <c r="F12" s="8">
        <v>0.2</v>
      </c>
      <c r="G12" s="12">
        <v>18</v>
      </c>
      <c r="H12" s="8">
        <v>0.8</v>
      </c>
      <c r="I12" s="12">
        <v>0</v>
      </c>
    </row>
    <row r="13" spans="2:9" ht="15" customHeight="1" x14ac:dyDescent="0.2">
      <c r="B13" t="s">
        <v>59</v>
      </c>
      <c r="C13" s="12">
        <v>510</v>
      </c>
      <c r="D13" s="8">
        <v>13.39</v>
      </c>
      <c r="E13" s="12">
        <v>64</v>
      </c>
      <c r="F13" s="8">
        <v>4.17</v>
      </c>
      <c r="G13" s="12">
        <v>446</v>
      </c>
      <c r="H13" s="8">
        <v>19.809999999999999</v>
      </c>
      <c r="I13" s="12">
        <v>0</v>
      </c>
    </row>
    <row r="14" spans="2:9" ht="15" customHeight="1" x14ac:dyDescent="0.2">
      <c r="B14" t="s">
        <v>60</v>
      </c>
      <c r="C14" s="12">
        <v>306</v>
      </c>
      <c r="D14" s="8">
        <v>8.0399999999999991</v>
      </c>
      <c r="E14" s="12">
        <v>105</v>
      </c>
      <c r="F14" s="8">
        <v>6.84</v>
      </c>
      <c r="G14" s="12">
        <v>199</v>
      </c>
      <c r="H14" s="8">
        <v>8.84</v>
      </c>
      <c r="I14" s="12">
        <v>0</v>
      </c>
    </row>
    <row r="15" spans="2:9" ht="15" customHeight="1" x14ac:dyDescent="0.2">
      <c r="B15" t="s">
        <v>61</v>
      </c>
      <c r="C15" s="12">
        <v>461</v>
      </c>
      <c r="D15" s="8">
        <v>12.11</v>
      </c>
      <c r="E15" s="12">
        <v>361</v>
      </c>
      <c r="F15" s="8">
        <v>23.52</v>
      </c>
      <c r="G15" s="12">
        <v>100</v>
      </c>
      <c r="H15" s="8">
        <v>4.4400000000000004</v>
      </c>
      <c r="I15" s="12">
        <v>0</v>
      </c>
    </row>
    <row r="16" spans="2:9" ht="15" customHeight="1" x14ac:dyDescent="0.2">
      <c r="B16" t="s">
        <v>62</v>
      </c>
      <c r="C16" s="12">
        <v>419</v>
      </c>
      <c r="D16" s="8">
        <v>11</v>
      </c>
      <c r="E16" s="12">
        <v>287</v>
      </c>
      <c r="F16" s="8">
        <v>18.7</v>
      </c>
      <c r="G16" s="12">
        <v>132</v>
      </c>
      <c r="H16" s="8">
        <v>5.86</v>
      </c>
      <c r="I16" s="12">
        <v>0</v>
      </c>
    </row>
    <row r="17" spans="2:9" ht="15" customHeight="1" x14ac:dyDescent="0.2">
      <c r="B17" t="s">
        <v>63</v>
      </c>
      <c r="C17" s="12">
        <v>216</v>
      </c>
      <c r="D17" s="8">
        <v>5.67</v>
      </c>
      <c r="E17" s="12">
        <v>125</v>
      </c>
      <c r="F17" s="8">
        <v>8.14</v>
      </c>
      <c r="G17" s="12">
        <v>87</v>
      </c>
      <c r="H17" s="8">
        <v>3.86</v>
      </c>
      <c r="I17" s="12">
        <v>3</v>
      </c>
    </row>
    <row r="18" spans="2:9" ht="15" customHeight="1" x14ac:dyDescent="0.2">
      <c r="B18" t="s">
        <v>64</v>
      </c>
      <c r="C18" s="12">
        <v>223</v>
      </c>
      <c r="D18" s="8">
        <v>5.86</v>
      </c>
      <c r="E18" s="12">
        <v>148</v>
      </c>
      <c r="F18" s="8">
        <v>9.64</v>
      </c>
      <c r="G18" s="12">
        <v>74</v>
      </c>
      <c r="H18" s="8">
        <v>3.29</v>
      </c>
      <c r="I18" s="12">
        <v>0</v>
      </c>
    </row>
    <row r="19" spans="2:9" ht="15" customHeight="1" x14ac:dyDescent="0.2">
      <c r="B19" t="s">
        <v>65</v>
      </c>
      <c r="C19" s="12">
        <v>166</v>
      </c>
      <c r="D19" s="8">
        <v>4.3600000000000003</v>
      </c>
      <c r="E19" s="12">
        <v>41</v>
      </c>
      <c r="F19" s="8">
        <v>2.67</v>
      </c>
      <c r="G19" s="12">
        <v>113</v>
      </c>
      <c r="H19" s="8">
        <v>5.0199999999999996</v>
      </c>
      <c r="I19" s="12">
        <v>2</v>
      </c>
    </row>
    <row r="20" spans="2:9" ht="15" customHeight="1" x14ac:dyDescent="0.2">
      <c r="B20" s="9" t="s">
        <v>215</v>
      </c>
      <c r="C20" s="12">
        <f>SUM(LTBL_28101[総数／事業所数])</f>
        <v>3808</v>
      </c>
      <c r="E20" s="12">
        <f>SUBTOTAL(109,LTBL_28101[個人／事業所数])</f>
        <v>1535</v>
      </c>
      <c r="G20" s="12">
        <f>SUBTOTAL(109,LTBL_28101[法人／事業所数])</f>
        <v>2251</v>
      </c>
      <c r="I20" s="12">
        <f>SUBTOTAL(109,LTBL_28101[法人以外の団体／事業所数])</f>
        <v>8</v>
      </c>
    </row>
    <row r="21" spans="2:9" ht="15" customHeight="1" x14ac:dyDescent="0.2">
      <c r="E21" s="11">
        <f>LTBL_28101[[#Totals],[個人／事業所数]]/LTBL_28101[[#Totals],[総数／事業所数]]</f>
        <v>0.40309873949579833</v>
      </c>
      <c r="G21" s="11">
        <f>LTBL_28101[[#Totals],[法人／事業所数]]/LTBL_28101[[#Totals],[総数／事業所数]]</f>
        <v>0.59112394957983194</v>
      </c>
      <c r="I21" s="11">
        <f>LTBL_28101[[#Totals],[法人以外の団体／事業所数]]/LTBL_28101[[#Totals],[総数／事業所数]]</f>
        <v>2.1008403361344537E-3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420</v>
      </c>
      <c r="D24" s="8">
        <v>11.03</v>
      </c>
      <c r="E24" s="12">
        <v>356</v>
      </c>
      <c r="F24" s="8">
        <v>23.19</v>
      </c>
      <c r="G24" s="12">
        <v>64</v>
      </c>
      <c r="H24" s="8">
        <v>2.84</v>
      </c>
      <c r="I24" s="12">
        <v>0</v>
      </c>
    </row>
    <row r="25" spans="2:9" ht="15" customHeight="1" x14ac:dyDescent="0.2">
      <c r="B25" t="s">
        <v>85</v>
      </c>
      <c r="C25" s="12">
        <v>398</v>
      </c>
      <c r="D25" s="8">
        <v>10.45</v>
      </c>
      <c r="E25" s="12">
        <v>45</v>
      </c>
      <c r="F25" s="8">
        <v>2.93</v>
      </c>
      <c r="G25" s="12">
        <v>353</v>
      </c>
      <c r="H25" s="8">
        <v>15.68</v>
      </c>
      <c r="I25" s="12">
        <v>0</v>
      </c>
    </row>
    <row r="26" spans="2:9" ht="15" customHeight="1" x14ac:dyDescent="0.2">
      <c r="B26" t="s">
        <v>89</v>
      </c>
      <c r="C26" s="12">
        <v>339</v>
      </c>
      <c r="D26" s="8">
        <v>8.9</v>
      </c>
      <c r="E26" s="12">
        <v>250</v>
      </c>
      <c r="F26" s="8">
        <v>16.29</v>
      </c>
      <c r="G26" s="12">
        <v>89</v>
      </c>
      <c r="H26" s="8">
        <v>3.95</v>
      </c>
      <c r="I26" s="12">
        <v>0</v>
      </c>
    </row>
    <row r="27" spans="2:9" ht="15" customHeight="1" x14ac:dyDescent="0.2">
      <c r="B27" t="s">
        <v>91</v>
      </c>
      <c r="C27" s="12">
        <v>216</v>
      </c>
      <c r="D27" s="8">
        <v>5.67</v>
      </c>
      <c r="E27" s="12">
        <v>125</v>
      </c>
      <c r="F27" s="8">
        <v>8.14</v>
      </c>
      <c r="G27" s="12">
        <v>87</v>
      </c>
      <c r="H27" s="8">
        <v>3.86</v>
      </c>
      <c r="I27" s="12">
        <v>3</v>
      </c>
    </row>
    <row r="28" spans="2:9" ht="15" customHeight="1" x14ac:dyDescent="0.2">
      <c r="B28" t="s">
        <v>83</v>
      </c>
      <c r="C28" s="12">
        <v>209</v>
      </c>
      <c r="D28" s="8">
        <v>5.49</v>
      </c>
      <c r="E28" s="12">
        <v>102</v>
      </c>
      <c r="F28" s="8">
        <v>6.64</v>
      </c>
      <c r="G28" s="12">
        <v>106</v>
      </c>
      <c r="H28" s="8">
        <v>4.71</v>
      </c>
      <c r="I28" s="12">
        <v>1</v>
      </c>
    </row>
    <row r="29" spans="2:9" ht="15" customHeight="1" x14ac:dyDescent="0.2">
      <c r="B29" t="s">
        <v>86</v>
      </c>
      <c r="C29" s="12">
        <v>196</v>
      </c>
      <c r="D29" s="8">
        <v>5.15</v>
      </c>
      <c r="E29" s="12">
        <v>72</v>
      </c>
      <c r="F29" s="8">
        <v>4.6900000000000004</v>
      </c>
      <c r="G29" s="12">
        <v>124</v>
      </c>
      <c r="H29" s="8">
        <v>5.51</v>
      </c>
      <c r="I29" s="12">
        <v>0</v>
      </c>
    </row>
    <row r="30" spans="2:9" ht="15" customHeight="1" x14ac:dyDescent="0.2">
      <c r="B30" t="s">
        <v>92</v>
      </c>
      <c r="C30" s="12">
        <v>170</v>
      </c>
      <c r="D30" s="8">
        <v>4.46</v>
      </c>
      <c r="E30" s="12">
        <v>145</v>
      </c>
      <c r="F30" s="8">
        <v>9.4499999999999993</v>
      </c>
      <c r="G30" s="12">
        <v>25</v>
      </c>
      <c r="H30" s="8">
        <v>1.1100000000000001</v>
      </c>
      <c r="I30" s="12">
        <v>0</v>
      </c>
    </row>
    <row r="31" spans="2:9" ht="15" customHeight="1" x14ac:dyDescent="0.2">
      <c r="B31" t="s">
        <v>81</v>
      </c>
      <c r="C31" s="12">
        <v>162</v>
      </c>
      <c r="D31" s="8">
        <v>4.25</v>
      </c>
      <c r="E31" s="12">
        <v>99</v>
      </c>
      <c r="F31" s="8">
        <v>6.45</v>
      </c>
      <c r="G31" s="12">
        <v>63</v>
      </c>
      <c r="H31" s="8">
        <v>2.8</v>
      </c>
      <c r="I31" s="12">
        <v>0</v>
      </c>
    </row>
    <row r="32" spans="2:9" ht="15" customHeight="1" x14ac:dyDescent="0.2">
      <c r="B32" t="s">
        <v>74</v>
      </c>
      <c r="C32" s="12">
        <v>129</v>
      </c>
      <c r="D32" s="8">
        <v>3.39</v>
      </c>
      <c r="E32" s="12">
        <v>14</v>
      </c>
      <c r="F32" s="8">
        <v>0.91</v>
      </c>
      <c r="G32" s="12">
        <v>115</v>
      </c>
      <c r="H32" s="8">
        <v>5.1100000000000003</v>
      </c>
      <c r="I32" s="12">
        <v>0</v>
      </c>
    </row>
    <row r="33" spans="2:9" ht="15" customHeight="1" x14ac:dyDescent="0.2">
      <c r="B33" t="s">
        <v>80</v>
      </c>
      <c r="C33" s="12">
        <v>116</v>
      </c>
      <c r="D33" s="8">
        <v>3.05</v>
      </c>
      <c r="E33" s="12">
        <v>59</v>
      </c>
      <c r="F33" s="8">
        <v>3.84</v>
      </c>
      <c r="G33" s="12">
        <v>57</v>
      </c>
      <c r="H33" s="8">
        <v>2.5299999999999998</v>
      </c>
      <c r="I33" s="12">
        <v>0</v>
      </c>
    </row>
    <row r="34" spans="2:9" ht="15" customHeight="1" x14ac:dyDescent="0.2">
      <c r="B34" t="s">
        <v>84</v>
      </c>
      <c r="C34" s="12">
        <v>100</v>
      </c>
      <c r="D34" s="8">
        <v>2.63</v>
      </c>
      <c r="E34" s="12">
        <v>17</v>
      </c>
      <c r="F34" s="8">
        <v>1.1100000000000001</v>
      </c>
      <c r="G34" s="12">
        <v>83</v>
      </c>
      <c r="H34" s="8">
        <v>3.69</v>
      </c>
      <c r="I34" s="12">
        <v>0</v>
      </c>
    </row>
    <row r="35" spans="2:9" ht="15" customHeight="1" x14ac:dyDescent="0.2">
      <c r="B35" t="s">
        <v>87</v>
      </c>
      <c r="C35" s="12">
        <v>98</v>
      </c>
      <c r="D35" s="8">
        <v>2.57</v>
      </c>
      <c r="E35" s="12">
        <v>31</v>
      </c>
      <c r="F35" s="8">
        <v>2.02</v>
      </c>
      <c r="G35" s="12">
        <v>65</v>
      </c>
      <c r="H35" s="8">
        <v>2.89</v>
      </c>
      <c r="I35" s="12">
        <v>0</v>
      </c>
    </row>
    <row r="36" spans="2:9" ht="15" customHeight="1" x14ac:dyDescent="0.2">
      <c r="B36" t="s">
        <v>75</v>
      </c>
      <c r="C36" s="12">
        <v>97</v>
      </c>
      <c r="D36" s="8">
        <v>2.5499999999999998</v>
      </c>
      <c r="E36" s="12">
        <v>25</v>
      </c>
      <c r="F36" s="8">
        <v>1.63</v>
      </c>
      <c r="G36" s="12">
        <v>72</v>
      </c>
      <c r="H36" s="8">
        <v>3.2</v>
      </c>
      <c r="I36" s="12">
        <v>0</v>
      </c>
    </row>
    <row r="37" spans="2:9" ht="15" customHeight="1" x14ac:dyDescent="0.2">
      <c r="B37" t="s">
        <v>82</v>
      </c>
      <c r="C37" s="12">
        <v>76</v>
      </c>
      <c r="D37" s="8">
        <v>2</v>
      </c>
      <c r="E37" s="12">
        <v>32</v>
      </c>
      <c r="F37" s="8">
        <v>2.08</v>
      </c>
      <c r="G37" s="12">
        <v>44</v>
      </c>
      <c r="H37" s="8">
        <v>1.95</v>
      </c>
      <c r="I37" s="12">
        <v>0</v>
      </c>
    </row>
    <row r="38" spans="2:9" ht="15" customHeight="1" x14ac:dyDescent="0.2">
      <c r="B38" t="s">
        <v>76</v>
      </c>
      <c r="C38" s="12">
        <v>75</v>
      </c>
      <c r="D38" s="8">
        <v>1.97</v>
      </c>
      <c r="E38" s="12">
        <v>11</v>
      </c>
      <c r="F38" s="8">
        <v>0.72</v>
      </c>
      <c r="G38" s="12">
        <v>64</v>
      </c>
      <c r="H38" s="8">
        <v>2.84</v>
      </c>
      <c r="I38" s="12">
        <v>0</v>
      </c>
    </row>
    <row r="39" spans="2:9" ht="15" customHeight="1" x14ac:dyDescent="0.2">
      <c r="B39" t="s">
        <v>94</v>
      </c>
      <c r="C39" s="12">
        <v>75</v>
      </c>
      <c r="D39" s="8">
        <v>1.97</v>
      </c>
      <c r="E39" s="12">
        <v>4</v>
      </c>
      <c r="F39" s="8">
        <v>0.26</v>
      </c>
      <c r="G39" s="12">
        <v>71</v>
      </c>
      <c r="H39" s="8">
        <v>3.15</v>
      </c>
      <c r="I39" s="12">
        <v>0</v>
      </c>
    </row>
    <row r="40" spans="2:9" ht="15" customHeight="1" x14ac:dyDescent="0.2">
      <c r="B40" t="s">
        <v>79</v>
      </c>
      <c r="C40" s="12">
        <v>71</v>
      </c>
      <c r="D40" s="8">
        <v>1.86</v>
      </c>
      <c r="E40" s="12">
        <v>4</v>
      </c>
      <c r="F40" s="8">
        <v>0.26</v>
      </c>
      <c r="G40" s="12">
        <v>65</v>
      </c>
      <c r="H40" s="8">
        <v>2.89</v>
      </c>
      <c r="I40" s="12">
        <v>2</v>
      </c>
    </row>
    <row r="41" spans="2:9" ht="15" customHeight="1" x14ac:dyDescent="0.2">
      <c r="B41" t="s">
        <v>95</v>
      </c>
      <c r="C41" s="12">
        <v>61</v>
      </c>
      <c r="D41" s="8">
        <v>1.6</v>
      </c>
      <c r="E41" s="12">
        <v>9</v>
      </c>
      <c r="F41" s="8">
        <v>0.59</v>
      </c>
      <c r="G41" s="12">
        <v>52</v>
      </c>
      <c r="H41" s="8">
        <v>2.31</v>
      </c>
      <c r="I41" s="12">
        <v>0</v>
      </c>
    </row>
    <row r="42" spans="2:9" ht="15" customHeight="1" x14ac:dyDescent="0.2">
      <c r="B42" t="s">
        <v>90</v>
      </c>
      <c r="C42" s="12">
        <v>58</v>
      </c>
      <c r="D42" s="8">
        <v>1.52</v>
      </c>
      <c r="E42" s="12">
        <v>28</v>
      </c>
      <c r="F42" s="8">
        <v>1.82</v>
      </c>
      <c r="G42" s="12">
        <v>30</v>
      </c>
      <c r="H42" s="8">
        <v>1.33</v>
      </c>
      <c r="I42" s="12">
        <v>0</v>
      </c>
    </row>
    <row r="43" spans="2:9" ht="15" customHeight="1" x14ac:dyDescent="0.2">
      <c r="B43" t="s">
        <v>93</v>
      </c>
      <c r="C43" s="12">
        <v>53</v>
      </c>
      <c r="D43" s="8">
        <v>1.39</v>
      </c>
      <c r="E43" s="12">
        <v>3</v>
      </c>
      <c r="F43" s="8">
        <v>0.2</v>
      </c>
      <c r="G43" s="12">
        <v>49</v>
      </c>
      <c r="H43" s="8">
        <v>2.1800000000000002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132</v>
      </c>
      <c r="C47" s="12">
        <v>245</v>
      </c>
      <c r="D47" s="8">
        <v>6.43</v>
      </c>
      <c r="E47" s="12">
        <v>32</v>
      </c>
      <c r="F47" s="8">
        <v>2.08</v>
      </c>
      <c r="G47" s="12">
        <v>213</v>
      </c>
      <c r="H47" s="8">
        <v>9.4600000000000009</v>
      </c>
      <c r="I47" s="12">
        <v>0</v>
      </c>
    </row>
    <row r="48" spans="2:9" ht="15" customHeight="1" x14ac:dyDescent="0.2">
      <c r="B48" t="s">
        <v>138</v>
      </c>
      <c r="C48" s="12">
        <v>182</v>
      </c>
      <c r="D48" s="8">
        <v>4.78</v>
      </c>
      <c r="E48" s="12">
        <v>155</v>
      </c>
      <c r="F48" s="8">
        <v>10.1</v>
      </c>
      <c r="G48" s="12">
        <v>27</v>
      </c>
      <c r="H48" s="8">
        <v>1.2</v>
      </c>
      <c r="I48" s="12">
        <v>0</v>
      </c>
    </row>
    <row r="49" spans="2:9" ht="15" customHeight="1" x14ac:dyDescent="0.2">
      <c r="B49" t="s">
        <v>140</v>
      </c>
      <c r="C49" s="12">
        <v>141</v>
      </c>
      <c r="D49" s="8">
        <v>3.7</v>
      </c>
      <c r="E49" s="12">
        <v>94</v>
      </c>
      <c r="F49" s="8">
        <v>6.12</v>
      </c>
      <c r="G49" s="12">
        <v>45</v>
      </c>
      <c r="H49" s="8">
        <v>2</v>
      </c>
      <c r="I49" s="12">
        <v>2</v>
      </c>
    </row>
    <row r="50" spans="2:9" ht="15" customHeight="1" x14ac:dyDescent="0.2">
      <c r="B50" t="s">
        <v>141</v>
      </c>
      <c r="C50" s="12">
        <v>123</v>
      </c>
      <c r="D50" s="8">
        <v>3.23</v>
      </c>
      <c r="E50" s="12">
        <v>103</v>
      </c>
      <c r="F50" s="8">
        <v>6.71</v>
      </c>
      <c r="G50" s="12">
        <v>20</v>
      </c>
      <c r="H50" s="8">
        <v>0.89</v>
      </c>
      <c r="I50" s="12">
        <v>0</v>
      </c>
    </row>
    <row r="51" spans="2:9" ht="15" customHeight="1" x14ac:dyDescent="0.2">
      <c r="B51" t="s">
        <v>133</v>
      </c>
      <c r="C51" s="12">
        <v>93</v>
      </c>
      <c r="D51" s="8">
        <v>2.44</v>
      </c>
      <c r="E51" s="12">
        <v>76</v>
      </c>
      <c r="F51" s="8">
        <v>4.95</v>
      </c>
      <c r="G51" s="12">
        <v>17</v>
      </c>
      <c r="H51" s="8">
        <v>0.76</v>
      </c>
      <c r="I51" s="12">
        <v>0</v>
      </c>
    </row>
    <row r="52" spans="2:9" ht="15" customHeight="1" x14ac:dyDescent="0.2">
      <c r="B52" t="s">
        <v>134</v>
      </c>
      <c r="C52" s="12">
        <v>93</v>
      </c>
      <c r="D52" s="8">
        <v>2.44</v>
      </c>
      <c r="E52" s="12">
        <v>81</v>
      </c>
      <c r="F52" s="8">
        <v>5.28</v>
      </c>
      <c r="G52" s="12">
        <v>12</v>
      </c>
      <c r="H52" s="8">
        <v>0.53</v>
      </c>
      <c r="I52" s="12">
        <v>0</v>
      </c>
    </row>
    <row r="53" spans="2:9" ht="15" customHeight="1" x14ac:dyDescent="0.2">
      <c r="B53" t="s">
        <v>136</v>
      </c>
      <c r="C53" s="12">
        <v>90</v>
      </c>
      <c r="D53" s="8">
        <v>2.36</v>
      </c>
      <c r="E53" s="12">
        <v>78</v>
      </c>
      <c r="F53" s="8">
        <v>5.08</v>
      </c>
      <c r="G53" s="12">
        <v>12</v>
      </c>
      <c r="H53" s="8">
        <v>0.53</v>
      </c>
      <c r="I53" s="12">
        <v>0</v>
      </c>
    </row>
    <row r="54" spans="2:9" ht="15" customHeight="1" x14ac:dyDescent="0.2">
      <c r="B54" t="s">
        <v>129</v>
      </c>
      <c r="C54" s="12">
        <v>81</v>
      </c>
      <c r="D54" s="8">
        <v>2.13</v>
      </c>
      <c r="E54" s="12">
        <v>53</v>
      </c>
      <c r="F54" s="8">
        <v>3.45</v>
      </c>
      <c r="G54" s="12">
        <v>27</v>
      </c>
      <c r="H54" s="8">
        <v>1.2</v>
      </c>
      <c r="I54" s="12">
        <v>1</v>
      </c>
    </row>
    <row r="55" spans="2:9" ht="15" customHeight="1" x14ac:dyDescent="0.2">
      <c r="B55" t="s">
        <v>130</v>
      </c>
      <c r="C55" s="12">
        <v>79</v>
      </c>
      <c r="D55" s="8">
        <v>2.0699999999999998</v>
      </c>
      <c r="E55" s="12">
        <v>17</v>
      </c>
      <c r="F55" s="8">
        <v>1.1100000000000001</v>
      </c>
      <c r="G55" s="12">
        <v>62</v>
      </c>
      <c r="H55" s="8">
        <v>2.75</v>
      </c>
      <c r="I55" s="12">
        <v>0</v>
      </c>
    </row>
    <row r="56" spans="2:9" ht="15" customHeight="1" x14ac:dyDescent="0.2">
      <c r="B56" t="s">
        <v>131</v>
      </c>
      <c r="C56" s="12">
        <v>70</v>
      </c>
      <c r="D56" s="8">
        <v>1.84</v>
      </c>
      <c r="E56" s="12">
        <v>5</v>
      </c>
      <c r="F56" s="8">
        <v>0.33</v>
      </c>
      <c r="G56" s="12">
        <v>65</v>
      </c>
      <c r="H56" s="8">
        <v>2.89</v>
      </c>
      <c r="I56" s="12">
        <v>0</v>
      </c>
    </row>
    <row r="57" spans="2:9" ht="15" customHeight="1" x14ac:dyDescent="0.2">
      <c r="B57" t="s">
        <v>137</v>
      </c>
      <c r="C57" s="12">
        <v>66</v>
      </c>
      <c r="D57" s="8">
        <v>1.73</v>
      </c>
      <c r="E57" s="12">
        <v>53</v>
      </c>
      <c r="F57" s="8">
        <v>3.45</v>
      </c>
      <c r="G57" s="12">
        <v>13</v>
      </c>
      <c r="H57" s="8">
        <v>0.57999999999999996</v>
      </c>
      <c r="I57" s="12">
        <v>0</v>
      </c>
    </row>
    <row r="58" spans="2:9" ht="15" customHeight="1" x14ac:dyDescent="0.2">
      <c r="B58" t="s">
        <v>146</v>
      </c>
      <c r="C58" s="12">
        <v>62</v>
      </c>
      <c r="D58" s="8">
        <v>1.63</v>
      </c>
      <c r="E58" s="12">
        <v>20</v>
      </c>
      <c r="F58" s="8">
        <v>1.3</v>
      </c>
      <c r="G58" s="12">
        <v>42</v>
      </c>
      <c r="H58" s="8">
        <v>1.87</v>
      </c>
      <c r="I58" s="12">
        <v>0</v>
      </c>
    </row>
    <row r="59" spans="2:9" ht="15" customHeight="1" x14ac:dyDescent="0.2">
      <c r="B59" t="s">
        <v>139</v>
      </c>
      <c r="C59" s="12">
        <v>59</v>
      </c>
      <c r="D59" s="8">
        <v>1.55</v>
      </c>
      <c r="E59" s="12">
        <v>30</v>
      </c>
      <c r="F59" s="8">
        <v>1.95</v>
      </c>
      <c r="G59" s="12">
        <v>29</v>
      </c>
      <c r="H59" s="8">
        <v>1.29</v>
      </c>
      <c r="I59" s="12">
        <v>0</v>
      </c>
    </row>
    <row r="60" spans="2:9" ht="15" customHeight="1" x14ac:dyDescent="0.2">
      <c r="B60" t="s">
        <v>143</v>
      </c>
      <c r="C60" s="12">
        <v>56</v>
      </c>
      <c r="D60" s="8">
        <v>1.47</v>
      </c>
      <c r="E60" s="12">
        <v>2</v>
      </c>
      <c r="F60" s="8">
        <v>0.13</v>
      </c>
      <c r="G60" s="12">
        <v>54</v>
      </c>
      <c r="H60" s="8">
        <v>2.4</v>
      </c>
      <c r="I60" s="12">
        <v>0</v>
      </c>
    </row>
    <row r="61" spans="2:9" ht="15" customHeight="1" x14ac:dyDescent="0.2">
      <c r="B61" t="s">
        <v>148</v>
      </c>
      <c r="C61" s="12">
        <v>56</v>
      </c>
      <c r="D61" s="8">
        <v>1.47</v>
      </c>
      <c r="E61" s="12">
        <v>3</v>
      </c>
      <c r="F61" s="8">
        <v>0.2</v>
      </c>
      <c r="G61" s="12">
        <v>53</v>
      </c>
      <c r="H61" s="8">
        <v>2.35</v>
      </c>
      <c r="I61" s="12">
        <v>0</v>
      </c>
    </row>
    <row r="62" spans="2:9" ht="15" customHeight="1" x14ac:dyDescent="0.2">
      <c r="B62" t="s">
        <v>147</v>
      </c>
      <c r="C62" s="12">
        <v>55</v>
      </c>
      <c r="D62" s="8">
        <v>1.44</v>
      </c>
      <c r="E62" s="12">
        <v>2</v>
      </c>
      <c r="F62" s="8">
        <v>0.13</v>
      </c>
      <c r="G62" s="12">
        <v>53</v>
      </c>
      <c r="H62" s="8">
        <v>2.35</v>
      </c>
      <c r="I62" s="12">
        <v>0</v>
      </c>
    </row>
    <row r="63" spans="2:9" ht="15" customHeight="1" x14ac:dyDescent="0.2">
      <c r="B63" t="s">
        <v>144</v>
      </c>
      <c r="C63" s="12">
        <v>55</v>
      </c>
      <c r="D63" s="8">
        <v>1.44</v>
      </c>
      <c r="E63" s="12">
        <v>15</v>
      </c>
      <c r="F63" s="8">
        <v>0.98</v>
      </c>
      <c r="G63" s="12">
        <v>38</v>
      </c>
      <c r="H63" s="8">
        <v>1.69</v>
      </c>
      <c r="I63" s="12">
        <v>0</v>
      </c>
    </row>
    <row r="64" spans="2:9" ht="15" customHeight="1" x14ac:dyDescent="0.2">
      <c r="B64" t="s">
        <v>149</v>
      </c>
      <c r="C64" s="12">
        <v>55</v>
      </c>
      <c r="D64" s="8">
        <v>1.44</v>
      </c>
      <c r="E64" s="12">
        <v>4</v>
      </c>
      <c r="F64" s="8">
        <v>0.26</v>
      </c>
      <c r="G64" s="12">
        <v>51</v>
      </c>
      <c r="H64" s="8">
        <v>2.27</v>
      </c>
      <c r="I64" s="12">
        <v>0</v>
      </c>
    </row>
    <row r="65" spans="2:9" ht="15" customHeight="1" x14ac:dyDescent="0.2">
      <c r="B65" t="s">
        <v>123</v>
      </c>
      <c r="C65" s="12">
        <v>51</v>
      </c>
      <c r="D65" s="8">
        <v>1.34</v>
      </c>
      <c r="E65" s="12">
        <v>7</v>
      </c>
      <c r="F65" s="8">
        <v>0.46</v>
      </c>
      <c r="G65" s="12">
        <v>44</v>
      </c>
      <c r="H65" s="8">
        <v>1.95</v>
      </c>
      <c r="I65" s="12">
        <v>0</v>
      </c>
    </row>
    <row r="66" spans="2:9" ht="15" customHeight="1" x14ac:dyDescent="0.2">
      <c r="B66" t="s">
        <v>125</v>
      </c>
      <c r="C66" s="12">
        <v>49</v>
      </c>
      <c r="D66" s="8">
        <v>1.29</v>
      </c>
      <c r="E66" s="12">
        <v>26</v>
      </c>
      <c r="F66" s="8">
        <v>1.69</v>
      </c>
      <c r="G66" s="12">
        <v>23</v>
      </c>
      <c r="H66" s="8">
        <v>1.02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8031-81C4-4657-9BCE-437ED979BDF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221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270</v>
      </c>
      <c r="D6" s="8">
        <v>9.27</v>
      </c>
      <c r="E6" s="12">
        <v>45</v>
      </c>
      <c r="F6" s="8">
        <v>3.08</v>
      </c>
      <c r="G6" s="12">
        <v>225</v>
      </c>
      <c r="H6" s="8">
        <v>15.57</v>
      </c>
      <c r="I6" s="12">
        <v>0</v>
      </c>
    </row>
    <row r="7" spans="2:9" ht="15" customHeight="1" x14ac:dyDescent="0.2">
      <c r="B7" t="s">
        <v>53</v>
      </c>
      <c r="C7" s="12">
        <v>112</v>
      </c>
      <c r="D7" s="8">
        <v>3.85</v>
      </c>
      <c r="E7" s="12">
        <v>33</v>
      </c>
      <c r="F7" s="8">
        <v>2.2599999999999998</v>
      </c>
      <c r="G7" s="12">
        <v>79</v>
      </c>
      <c r="H7" s="8">
        <v>5.47</v>
      </c>
      <c r="I7" s="12">
        <v>0</v>
      </c>
    </row>
    <row r="8" spans="2:9" ht="15" customHeight="1" x14ac:dyDescent="0.2">
      <c r="B8" t="s">
        <v>54</v>
      </c>
      <c r="C8" s="12">
        <v>3</v>
      </c>
      <c r="D8" s="8">
        <v>0.1</v>
      </c>
      <c r="E8" s="12">
        <v>0</v>
      </c>
      <c r="F8" s="8">
        <v>0</v>
      </c>
      <c r="G8" s="12">
        <v>3</v>
      </c>
      <c r="H8" s="8">
        <v>0.21</v>
      </c>
      <c r="I8" s="12">
        <v>0</v>
      </c>
    </row>
    <row r="9" spans="2:9" ht="15" customHeight="1" x14ac:dyDescent="0.2">
      <c r="B9" t="s">
        <v>55</v>
      </c>
      <c r="C9" s="12">
        <v>30</v>
      </c>
      <c r="D9" s="8">
        <v>1.03</v>
      </c>
      <c r="E9" s="12">
        <v>1</v>
      </c>
      <c r="F9" s="8">
        <v>7.0000000000000007E-2</v>
      </c>
      <c r="G9" s="12">
        <v>29</v>
      </c>
      <c r="H9" s="8">
        <v>2.0099999999999998</v>
      </c>
      <c r="I9" s="12">
        <v>0</v>
      </c>
    </row>
    <row r="10" spans="2:9" ht="15" customHeight="1" x14ac:dyDescent="0.2">
      <c r="B10" t="s">
        <v>56</v>
      </c>
      <c r="C10" s="12">
        <v>41</v>
      </c>
      <c r="D10" s="8">
        <v>1.41</v>
      </c>
      <c r="E10" s="12">
        <v>3</v>
      </c>
      <c r="F10" s="8">
        <v>0.21</v>
      </c>
      <c r="G10" s="12">
        <v>38</v>
      </c>
      <c r="H10" s="8">
        <v>2.63</v>
      </c>
      <c r="I10" s="12">
        <v>0</v>
      </c>
    </row>
    <row r="11" spans="2:9" ht="15" customHeight="1" x14ac:dyDescent="0.2">
      <c r="B11" t="s">
        <v>57</v>
      </c>
      <c r="C11" s="12">
        <v>669</v>
      </c>
      <c r="D11" s="8">
        <v>22.97</v>
      </c>
      <c r="E11" s="12">
        <v>342</v>
      </c>
      <c r="F11" s="8">
        <v>23.39</v>
      </c>
      <c r="G11" s="12">
        <v>327</v>
      </c>
      <c r="H11" s="8">
        <v>22.63</v>
      </c>
      <c r="I11" s="12">
        <v>0</v>
      </c>
    </row>
    <row r="12" spans="2:9" ht="15" customHeight="1" x14ac:dyDescent="0.2">
      <c r="B12" t="s">
        <v>58</v>
      </c>
      <c r="C12" s="12">
        <v>11</v>
      </c>
      <c r="D12" s="8">
        <v>0.38</v>
      </c>
      <c r="E12" s="12">
        <v>0</v>
      </c>
      <c r="F12" s="8">
        <v>0</v>
      </c>
      <c r="G12" s="12">
        <v>11</v>
      </c>
      <c r="H12" s="8">
        <v>0.76</v>
      </c>
      <c r="I12" s="12">
        <v>0</v>
      </c>
    </row>
    <row r="13" spans="2:9" ht="15" customHeight="1" x14ac:dyDescent="0.2">
      <c r="B13" t="s">
        <v>59</v>
      </c>
      <c r="C13" s="12">
        <v>383</v>
      </c>
      <c r="D13" s="8">
        <v>13.15</v>
      </c>
      <c r="E13" s="12">
        <v>70</v>
      </c>
      <c r="F13" s="8">
        <v>4.79</v>
      </c>
      <c r="G13" s="12">
        <v>313</v>
      </c>
      <c r="H13" s="8">
        <v>21.66</v>
      </c>
      <c r="I13" s="12">
        <v>0</v>
      </c>
    </row>
    <row r="14" spans="2:9" ht="15" customHeight="1" x14ac:dyDescent="0.2">
      <c r="B14" t="s">
        <v>60</v>
      </c>
      <c r="C14" s="12">
        <v>149</v>
      </c>
      <c r="D14" s="8">
        <v>5.12</v>
      </c>
      <c r="E14" s="12">
        <v>65</v>
      </c>
      <c r="F14" s="8">
        <v>4.45</v>
      </c>
      <c r="G14" s="12">
        <v>84</v>
      </c>
      <c r="H14" s="8">
        <v>5.81</v>
      </c>
      <c r="I14" s="12">
        <v>0</v>
      </c>
    </row>
    <row r="15" spans="2:9" ht="15" customHeight="1" x14ac:dyDescent="0.2">
      <c r="B15" t="s">
        <v>61</v>
      </c>
      <c r="C15" s="12">
        <v>467</v>
      </c>
      <c r="D15" s="8">
        <v>16.04</v>
      </c>
      <c r="E15" s="12">
        <v>404</v>
      </c>
      <c r="F15" s="8">
        <v>27.63</v>
      </c>
      <c r="G15" s="12">
        <v>63</v>
      </c>
      <c r="H15" s="8">
        <v>4.3600000000000003</v>
      </c>
      <c r="I15" s="12">
        <v>0</v>
      </c>
    </row>
    <row r="16" spans="2:9" ht="15" customHeight="1" x14ac:dyDescent="0.2">
      <c r="B16" t="s">
        <v>62</v>
      </c>
      <c r="C16" s="12">
        <v>361</v>
      </c>
      <c r="D16" s="8">
        <v>12.4</v>
      </c>
      <c r="E16" s="12">
        <v>279</v>
      </c>
      <c r="F16" s="8">
        <v>19.079999999999998</v>
      </c>
      <c r="G16" s="12">
        <v>82</v>
      </c>
      <c r="H16" s="8">
        <v>5.67</v>
      </c>
      <c r="I16" s="12">
        <v>0</v>
      </c>
    </row>
    <row r="17" spans="2:9" ht="15" customHeight="1" x14ac:dyDescent="0.2">
      <c r="B17" t="s">
        <v>63</v>
      </c>
      <c r="C17" s="12">
        <v>122</v>
      </c>
      <c r="D17" s="8">
        <v>4.1900000000000004</v>
      </c>
      <c r="E17" s="12">
        <v>72</v>
      </c>
      <c r="F17" s="8">
        <v>4.92</v>
      </c>
      <c r="G17" s="12">
        <v>50</v>
      </c>
      <c r="H17" s="8">
        <v>3.46</v>
      </c>
      <c r="I17" s="12">
        <v>0</v>
      </c>
    </row>
    <row r="18" spans="2:9" ht="15" customHeight="1" x14ac:dyDescent="0.2">
      <c r="B18" t="s">
        <v>64</v>
      </c>
      <c r="C18" s="12">
        <v>183</v>
      </c>
      <c r="D18" s="8">
        <v>6.28</v>
      </c>
      <c r="E18" s="12">
        <v>119</v>
      </c>
      <c r="F18" s="8">
        <v>8.14</v>
      </c>
      <c r="G18" s="12">
        <v>63</v>
      </c>
      <c r="H18" s="8">
        <v>4.3600000000000003</v>
      </c>
      <c r="I18" s="12">
        <v>0</v>
      </c>
    </row>
    <row r="19" spans="2:9" ht="15" customHeight="1" x14ac:dyDescent="0.2">
      <c r="B19" t="s">
        <v>65</v>
      </c>
      <c r="C19" s="12">
        <v>111</v>
      </c>
      <c r="D19" s="8">
        <v>3.81</v>
      </c>
      <c r="E19" s="12">
        <v>29</v>
      </c>
      <c r="F19" s="8">
        <v>1.98</v>
      </c>
      <c r="G19" s="12">
        <v>78</v>
      </c>
      <c r="H19" s="8">
        <v>5.4</v>
      </c>
      <c r="I19" s="12">
        <v>0</v>
      </c>
    </row>
    <row r="20" spans="2:9" ht="15" customHeight="1" x14ac:dyDescent="0.2">
      <c r="B20" s="9" t="s">
        <v>215</v>
      </c>
      <c r="C20" s="12">
        <f>SUM(LTBL_28102[総数／事業所数])</f>
        <v>2912</v>
      </c>
      <c r="E20" s="12">
        <f>SUBTOTAL(109,LTBL_28102[個人／事業所数])</f>
        <v>1462</v>
      </c>
      <c r="G20" s="12">
        <f>SUBTOTAL(109,LTBL_28102[法人／事業所数])</f>
        <v>1445</v>
      </c>
      <c r="I20" s="12">
        <f>SUBTOTAL(109,LTBL_28102[法人以外の団体／事業所数])</f>
        <v>0</v>
      </c>
    </row>
    <row r="21" spans="2:9" ht="15" customHeight="1" x14ac:dyDescent="0.2">
      <c r="E21" s="11">
        <f>LTBL_28102[[#Totals],[個人／事業所数]]/LTBL_28102[[#Totals],[総数／事業所数]]</f>
        <v>0.50206043956043955</v>
      </c>
      <c r="G21" s="11">
        <f>LTBL_28102[[#Totals],[法人／事業所数]]/LTBL_28102[[#Totals],[総数／事業所数]]</f>
        <v>0.49622252747252749</v>
      </c>
      <c r="I21" s="11">
        <f>LTBL_28102[[#Totals],[法人以外の団体／事業所数]]/LTBL_28102[[#Totals],[総数／事業所数]]</f>
        <v>0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430</v>
      </c>
      <c r="D24" s="8">
        <v>14.77</v>
      </c>
      <c r="E24" s="12">
        <v>391</v>
      </c>
      <c r="F24" s="8">
        <v>26.74</v>
      </c>
      <c r="G24" s="12">
        <v>39</v>
      </c>
      <c r="H24" s="8">
        <v>2.7</v>
      </c>
      <c r="I24" s="12">
        <v>0</v>
      </c>
    </row>
    <row r="25" spans="2:9" ht="15" customHeight="1" x14ac:dyDescent="0.2">
      <c r="B25" t="s">
        <v>89</v>
      </c>
      <c r="C25" s="12">
        <v>298</v>
      </c>
      <c r="D25" s="8">
        <v>10.23</v>
      </c>
      <c r="E25" s="12">
        <v>249</v>
      </c>
      <c r="F25" s="8">
        <v>17.03</v>
      </c>
      <c r="G25" s="12">
        <v>49</v>
      </c>
      <c r="H25" s="8">
        <v>3.39</v>
      </c>
      <c r="I25" s="12">
        <v>0</v>
      </c>
    </row>
    <row r="26" spans="2:9" ht="15" customHeight="1" x14ac:dyDescent="0.2">
      <c r="B26" t="s">
        <v>85</v>
      </c>
      <c r="C26" s="12">
        <v>273</v>
      </c>
      <c r="D26" s="8">
        <v>9.3800000000000008</v>
      </c>
      <c r="E26" s="12">
        <v>61</v>
      </c>
      <c r="F26" s="8">
        <v>4.17</v>
      </c>
      <c r="G26" s="12">
        <v>212</v>
      </c>
      <c r="H26" s="8">
        <v>14.67</v>
      </c>
      <c r="I26" s="12">
        <v>0</v>
      </c>
    </row>
    <row r="27" spans="2:9" ht="15" customHeight="1" x14ac:dyDescent="0.2">
      <c r="B27" t="s">
        <v>81</v>
      </c>
      <c r="C27" s="12">
        <v>181</v>
      </c>
      <c r="D27" s="8">
        <v>6.22</v>
      </c>
      <c r="E27" s="12">
        <v>128</v>
      </c>
      <c r="F27" s="8">
        <v>8.76</v>
      </c>
      <c r="G27" s="12">
        <v>53</v>
      </c>
      <c r="H27" s="8">
        <v>3.67</v>
      </c>
      <c r="I27" s="12">
        <v>0</v>
      </c>
    </row>
    <row r="28" spans="2:9" ht="15" customHeight="1" x14ac:dyDescent="0.2">
      <c r="B28" t="s">
        <v>83</v>
      </c>
      <c r="C28" s="12">
        <v>162</v>
      </c>
      <c r="D28" s="8">
        <v>5.56</v>
      </c>
      <c r="E28" s="12">
        <v>102</v>
      </c>
      <c r="F28" s="8">
        <v>6.98</v>
      </c>
      <c r="G28" s="12">
        <v>60</v>
      </c>
      <c r="H28" s="8">
        <v>4.1500000000000004</v>
      </c>
      <c r="I28" s="12">
        <v>0</v>
      </c>
    </row>
    <row r="29" spans="2:9" ht="15" customHeight="1" x14ac:dyDescent="0.2">
      <c r="B29" t="s">
        <v>92</v>
      </c>
      <c r="C29" s="12">
        <v>138</v>
      </c>
      <c r="D29" s="8">
        <v>4.74</v>
      </c>
      <c r="E29" s="12">
        <v>118</v>
      </c>
      <c r="F29" s="8">
        <v>8.07</v>
      </c>
      <c r="G29" s="12">
        <v>20</v>
      </c>
      <c r="H29" s="8">
        <v>1.38</v>
      </c>
      <c r="I29" s="12">
        <v>0</v>
      </c>
    </row>
    <row r="30" spans="2:9" ht="15" customHeight="1" x14ac:dyDescent="0.2">
      <c r="B30" t="s">
        <v>91</v>
      </c>
      <c r="C30" s="12">
        <v>122</v>
      </c>
      <c r="D30" s="8">
        <v>4.1900000000000004</v>
      </c>
      <c r="E30" s="12">
        <v>72</v>
      </c>
      <c r="F30" s="8">
        <v>4.92</v>
      </c>
      <c r="G30" s="12">
        <v>50</v>
      </c>
      <c r="H30" s="8">
        <v>3.46</v>
      </c>
      <c r="I30" s="12">
        <v>0</v>
      </c>
    </row>
    <row r="31" spans="2:9" ht="15" customHeight="1" x14ac:dyDescent="0.2">
      <c r="B31" t="s">
        <v>74</v>
      </c>
      <c r="C31" s="12">
        <v>110</v>
      </c>
      <c r="D31" s="8">
        <v>3.78</v>
      </c>
      <c r="E31" s="12">
        <v>18</v>
      </c>
      <c r="F31" s="8">
        <v>1.23</v>
      </c>
      <c r="G31" s="12">
        <v>92</v>
      </c>
      <c r="H31" s="8">
        <v>6.37</v>
      </c>
      <c r="I31" s="12">
        <v>0</v>
      </c>
    </row>
    <row r="32" spans="2:9" ht="15" customHeight="1" x14ac:dyDescent="0.2">
      <c r="B32" t="s">
        <v>84</v>
      </c>
      <c r="C32" s="12">
        <v>103</v>
      </c>
      <c r="D32" s="8">
        <v>3.54</v>
      </c>
      <c r="E32" s="12">
        <v>8</v>
      </c>
      <c r="F32" s="8">
        <v>0.55000000000000004</v>
      </c>
      <c r="G32" s="12">
        <v>95</v>
      </c>
      <c r="H32" s="8">
        <v>6.57</v>
      </c>
      <c r="I32" s="12">
        <v>0</v>
      </c>
    </row>
    <row r="33" spans="2:9" ht="15" customHeight="1" x14ac:dyDescent="0.2">
      <c r="B33" t="s">
        <v>76</v>
      </c>
      <c r="C33" s="12">
        <v>97</v>
      </c>
      <c r="D33" s="8">
        <v>3.33</v>
      </c>
      <c r="E33" s="12">
        <v>14</v>
      </c>
      <c r="F33" s="8">
        <v>0.96</v>
      </c>
      <c r="G33" s="12">
        <v>83</v>
      </c>
      <c r="H33" s="8">
        <v>5.74</v>
      </c>
      <c r="I33" s="12">
        <v>0</v>
      </c>
    </row>
    <row r="34" spans="2:9" ht="15" customHeight="1" x14ac:dyDescent="0.2">
      <c r="B34" t="s">
        <v>86</v>
      </c>
      <c r="C34" s="12">
        <v>82</v>
      </c>
      <c r="D34" s="8">
        <v>2.82</v>
      </c>
      <c r="E34" s="12">
        <v>42</v>
      </c>
      <c r="F34" s="8">
        <v>2.87</v>
      </c>
      <c r="G34" s="12">
        <v>40</v>
      </c>
      <c r="H34" s="8">
        <v>2.77</v>
      </c>
      <c r="I34" s="12">
        <v>0</v>
      </c>
    </row>
    <row r="35" spans="2:9" ht="15" customHeight="1" x14ac:dyDescent="0.2">
      <c r="B35" t="s">
        <v>80</v>
      </c>
      <c r="C35" s="12">
        <v>80</v>
      </c>
      <c r="D35" s="8">
        <v>2.75</v>
      </c>
      <c r="E35" s="12">
        <v>53</v>
      </c>
      <c r="F35" s="8">
        <v>3.63</v>
      </c>
      <c r="G35" s="12">
        <v>27</v>
      </c>
      <c r="H35" s="8">
        <v>1.87</v>
      </c>
      <c r="I35" s="12">
        <v>0</v>
      </c>
    </row>
    <row r="36" spans="2:9" ht="15" customHeight="1" x14ac:dyDescent="0.2">
      <c r="B36" t="s">
        <v>75</v>
      </c>
      <c r="C36" s="12">
        <v>63</v>
      </c>
      <c r="D36" s="8">
        <v>2.16</v>
      </c>
      <c r="E36" s="12">
        <v>13</v>
      </c>
      <c r="F36" s="8">
        <v>0.89</v>
      </c>
      <c r="G36" s="12">
        <v>50</v>
      </c>
      <c r="H36" s="8">
        <v>3.46</v>
      </c>
      <c r="I36" s="12">
        <v>0</v>
      </c>
    </row>
    <row r="37" spans="2:9" ht="15" customHeight="1" x14ac:dyDescent="0.2">
      <c r="B37" t="s">
        <v>82</v>
      </c>
      <c r="C37" s="12">
        <v>63</v>
      </c>
      <c r="D37" s="8">
        <v>2.16</v>
      </c>
      <c r="E37" s="12">
        <v>37</v>
      </c>
      <c r="F37" s="8">
        <v>2.5299999999999998</v>
      </c>
      <c r="G37" s="12">
        <v>26</v>
      </c>
      <c r="H37" s="8">
        <v>1.8</v>
      </c>
      <c r="I37" s="12">
        <v>0</v>
      </c>
    </row>
    <row r="38" spans="2:9" ht="15" customHeight="1" x14ac:dyDescent="0.2">
      <c r="B38" t="s">
        <v>87</v>
      </c>
      <c r="C38" s="12">
        <v>59</v>
      </c>
      <c r="D38" s="8">
        <v>2.0299999999999998</v>
      </c>
      <c r="E38" s="12">
        <v>23</v>
      </c>
      <c r="F38" s="8">
        <v>1.57</v>
      </c>
      <c r="G38" s="12">
        <v>36</v>
      </c>
      <c r="H38" s="8">
        <v>2.4900000000000002</v>
      </c>
      <c r="I38" s="12">
        <v>0</v>
      </c>
    </row>
    <row r="39" spans="2:9" ht="15" customHeight="1" x14ac:dyDescent="0.2">
      <c r="B39" t="s">
        <v>79</v>
      </c>
      <c r="C39" s="12">
        <v>49</v>
      </c>
      <c r="D39" s="8">
        <v>1.68</v>
      </c>
      <c r="E39" s="12">
        <v>8</v>
      </c>
      <c r="F39" s="8">
        <v>0.55000000000000004</v>
      </c>
      <c r="G39" s="12">
        <v>41</v>
      </c>
      <c r="H39" s="8">
        <v>2.84</v>
      </c>
      <c r="I39" s="12">
        <v>0</v>
      </c>
    </row>
    <row r="40" spans="2:9" ht="15" customHeight="1" x14ac:dyDescent="0.2">
      <c r="B40" t="s">
        <v>94</v>
      </c>
      <c r="C40" s="12">
        <v>49</v>
      </c>
      <c r="D40" s="8">
        <v>1.68</v>
      </c>
      <c r="E40" s="12">
        <v>4</v>
      </c>
      <c r="F40" s="8">
        <v>0.27</v>
      </c>
      <c r="G40" s="12">
        <v>45</v>
      </c>
      <c r="H40" s="8">
        <v>3.11</v>
      </c>
      <c r="I40" s="12">
        <v>0</v>
      </c>
    </row>
    <row r="41" spans="2:9" ht="15" customHeight="1" x14ac:dyDescent="0.2">
      <c r="B41" t="s">
        <v>93</v>
      </c>
      <c r="C41" s="12">
        <v>45</v>
      </c>
      <c r="D41" s="8">
        <v>1.55</v>
      </c>
      <c r="E41" s="12">
        <v>1</v>
      </c>
      <c r="F41" s="8">
        <v>7.0000000000000007E-2</v>
      </c>
      <c r="G41" s="12">
        <v>43</v>
      </c>
      <c r="H41" s="8">
        <v>2.98</v>
      </c>
      <c r="I41" s="12">
        <v>0</v>
      </c>
    </row>
    <row r="42" spans="2:9" ht="15" customHeight="1" x14ac:dyDescent="0.2">
      <c r="B42" t="s">
        <v>90</v>
      </c>
      <c r="C42" s="12">
        <v>42</v>
      </c>
      <c r="D42" s="8">
        <v>1.44</v>
      </c>
      <c r="E42" s="12">
        <v>18</v>
      </c>
      <c r="F42" s="8">
        <v>1.23</v>
      </c>
      <c r="G42" s="12">
        <v>24</v>
      </c>
      <c r="H42" s="8">
        <v>1.66</v>
      </c>
      <c r="I42" s="12">
        <v>0</v>
      </c>
    </row>
    <row r="43" spans="2:9" ht="15" customHeight="1" x14ac:dyDescent="0.2">
      <c r="B43" t="s">
        <v>78</v>
      </c>
      <c r="C43" s="12">
        <v>38</v>
      </c>
      <c r="D43" s="8">
        <v>1.3</v>
      </c>
      <c r="E43" s="12">
        <v>5</v>
      </c>
      <c r="F43" s="8">
        <v>0.34</v>
      </c>
      <c r="G43" s="12">
        <v>33</v>
      </c>
      <c r="H43" s="8">
        <v>2.2799999999999998</v>
      </c>
      <c r="I43" s="12">
        <v>0</v>
      </c>
    </row>
    <row r="46" spans="2:9" ht="33" customHeight="1" x14ac:dyDescent="0.2">
      <c r="B46" t="s">
        <v>217</v>
      </c>
      <c r="C46" s="10" t="s">
        <v>67</v>
      </c>
      <c r="D46" s="10" t="s">
        <v>68</v>
      </c>
      <c r="E46" s="10" t="s">
        <v>69</v>
      </c>
      <c r="F46" s="10" t="s">
        <v>70</v>
      </c>
      <c r="G46" s="10" t="s">
        <v>71</v>
      </c>
      <c r="H46" s="10" t="s">
        <v>72</v>
      </c>
      <c r="I46" s="10" t="s">
        <v>73</v>
      </c>
    </row>
    <row r="47" spans="2:9" ht="15" customHeight="1" x14ac:dyDescent="0.2">
      <c r="B47" t="s">
        <v>132</v>
      </c>
      <c r="C47" s="12">
        <v>165</v>
      </c>
      <c r="D47" s="8">
        <v>5.67</v>
      </c>
      <c r="E47" s="12">
        <v>44</v>
      </c>
      <c r="F47" s="8">
        <v>3.01</v>
      </c>
      <c r="G47" s="12">
        <v>121</v>
      </c>
      <c r="H47" s="8">
        <v>8.3699999999999992</v>
      </c>
      <c r="I47" s="12">
        <v>0</v>
      </c>
    </row>
    <row r="48" spans="2:9" ht="15" customHeight="1" x14ac:dyDescent="0.2">
      <c r="B48" t="s">
        <v>138</v>
      </c>
      <c r="C48" s="12">
        <v>159</v>
      </c>
      <c r="D48" s="8">
        <v>5.46</v>
      </c>
      <c r="E48" s="12">
        <v>143</v>
      </c>
      <c r="F48" s="8">
        <v>9.7799999999999994</v>
      </c>
      <c r="G48" s="12">
        <v>16</v>
      </c>
      <c r="H48" s="8">
        <v>1.1100000000000001</v>
      </c>
      <c r="I48" s="12">
        <v>0</v>
      </c>
    </row>
    <row r="49" spans="2:9" ht="15" customHeight="1" x14ac:dyDescent="0.2">
      <c r="B49" t="s">
        <v>133</v>
      </c>
      <c r="C49" s="12">
        <v>117</v>
      </c>
      <c r="D49" s="8">
        <v>4.0199999999999996</v>
      </c>
      <c r="E49" s="12">
        <v>103</v>
      </c>
      <c r="F49" s="8">
        <v>7.05</v>
      </c>
      <c r="G49" s="12">
        <v>14</v>
      </c>
      <c r="H49" s="8">
        <v>0.97</v>
      </c>
      <c r="I49" s="12">
        <v>0</v>
      </c>
    </row>
    <row r="50" spans="2:9" ht="15" customHeight="1" x14ac:dyDescent="0.2">
      <c r="B50" t="s">
        <v>141</v>
      </c>
      <c r="C50" s="12">
        <v>98</v>
      </c>
      <c r="D50" s="8">
        <v>3.37</v>
      </c>
      <c r="E50" s="12">
        <v>84</v>
      </c>
      <c r="F50" s="8">
        <v>5.75</v>
      </c>
      <c r="G50" s="12">
        <v>14</v>
      </c>
      <c r="H50" s="8">
        <v>0.97</v>
      </c>
      <c r="I50" s="12">
        <v>0</v>
      </c>
    </row>
    <row r="51" spans="2:9" ht="15" customHeight="1" x14ac:dyDescent="0.2">
      <c r="B51" t="s">
        <v>134</v>
      </c>
      <c r="C51" s="12">
        <v>87</v>
      </c>
      <c r="D51" s="8">
        <v>2.99</v>
      </c>
      <c r="E51" s="12">
        <v>80</v>
      </c>
      <c r="F51" s="8">
        <v>5.47</v>
      </c>
      <c r="G51" s="12">
        <v>7</v>
      </c>
      <c r="H51" s="8">
        <v>0.48</v>
      </c>
      <c r="I51" s="12">
        <v>0</v>
      </c>
    </row>
    <row r="52" spans="2:9" ht="15" customHeight="1" x14ac:dyDescent="0.2">
      <c r="B52" t="s">
        <v>140</v>
      </c>
      <c r="C52" s="12">
        <v>81</v>
      </c>
      <c r="D52" s="8">
        <v>2.78</v>
      </c>
      <c r="E52" s="12">
        <v>57</v>
      </c>
      <c r="F52" s="8">
        <v>3.9</v>
      </c>
      <c r="G52" s="12">
        <v>24</v>
      </c>
      <c r="H52" s="8">
        <v>1.66</v>
      </c>
      <c r="I52" s="12">
        <v>0</v>
      </c>
    </row>
    <row r="53" spans="2:9" ht="15" customHeight="1" x14ac:dyDescent="0.2">
      <c r="B53" t="s">
        <v>136</v>
      </c>
      <c r="C53" s="12">
        <v>75</v>
      </c>
      <c r="D53" s="8">
        <v>2.58</v>
      </c>
      <c r="E53" s="12">
        <v>69</v>
      </c>
      <c r="F53" s="8">
        <v>4.72</v>
      </c>
      <c r="G53" s="12">
        <v>6</v>
      </c>
      <c r="H53" s="8">
        <v>0.42</v>
      </c>
      <c r="I53" s="12">
        <v>0</v>
      </c>
    </row>
    <row r="54" spans="2:9" ht="15" customHeight="1" x14ac:dyDescent="0.2">
      <c r="B54" t="s">
        <v>130</v>
      </c>
      <c r="C54" s="12">
        <v>72</v>
      </c>
      <c r="D54" s="8">
        <v>2.4700000000000002</v>
      </c>
      <c r="E54" s="12">
        <v>8</v>
      </c>
      <c r="F54" s="8">
        <v>0.55000000000000004</v>
      </c>
      <c r="G54" s="12">
        <v>64</v>
      </c>
      <c r="H54" s="8">
        <v>4.43</v>
      </c>
      <c r="I54" s="12">
        <v>0</v>
      </c>
    </row>
    <row r="55" spans="2:9" ht="15" customHeight="1" x14ac:dyDescent="0.2">
      <c r="B55" t="s">
        <v>129</v>
      </c>
      <c r="C55" s="12">
        <v>71</v>
      </c>
      <c r="D55" s="8">
        <v>2.44</v>
      </c>
      <c r="E55" s="12">
        <v>48</v>
      </c>
      <c r="F55" s="8">
        <v>3.28</v>
      </c>
      <c r="G55" s="12">
        <v>23</v>
      </c>
      <c r="H55" s="8">
        <v>1.59</v>
      </c>
      <c r="I55" s="12">
        <v>0</v>
      </c>
    </row>
    <row r="56" spans="2:9" ht="15" customHeight="1" x14ac:dyDescent="0.2">
      <c r="B56" t="s">
        <v>126</v>
      </c>
      <c r="C56" s="12">
        <v>70</v>
      </c>
      <c r="D56" s="8">
        <v>2.4</v>
      </c>
      <c r="E56" s="12">
        <v>49</v>
      </c>
      <c r="F56" s="8">
        <v>3.35</v>
      </c>
      <c r="G56" s="12">
        <v>21</v>
      </c>
      <c r="H56" s="8">
        <v>1.45</v>
      </c>
      <c r="I56" s="12">
        <v>0</v>
      </c>
    </row>
    <row r="57" spans="2:9" ht="15" customHeight="1" x14ac:dyDescent="0.2">
      <c r="B57" t="s">
        <v>137</v>
      </c>
      <c r="C57" s="12">
        <v>69</v>
      </c>
      <c r="D57" s="8">
        <v>2.37</v>
      </c>
      <c r="E57" s="12">
        <v>65</v>
      </c>
      <c r="F57" s="8">
        <v>4.45</v>
      </c>
      <c r="G57" s="12">
        <v>4</v>
      </c>
      <c r="H57" s="8">
        <v>0.28000000000000003</v>
      </c>
      <c r="I57" s="12">
        <v>0</v>
      </c>
    </row>
    <row r="58" spans="2:9" ht="15" customHeight="1" x14ac:dyDescent="0.2">
      <c r="B58" t="s">
        <v>135</v>
      </c>
      <c r="C58" s="12">
        <v>59</v>
      </c>
      <c r="D58" s="8">
        <v>2.0299999999999998</v>
      </c>
      <c r="E58" s="12">
        <v>58</v>
      </c>
      <c r="F58" s="8">
        <v>3.97</v>
      </c>
      <c r="G58" s="12">
        <v>1</v>
      </c>
      <c r="H58" s="8">
        <v>7.0000000000000007E-2</v>
      </c>
      <c r="I58" s="12">
        <v>0</v>
      </c>
    </row>
    <row r="59" spans="2:9" ht="15" customHeight="1" x14ac:dyDescent="0.2">
      <c r="B59" t="s">
        <v>146</v>
      </c>
      <c r="C59" s="12">
        <v>46</v>
      </c>
      <c r="D59" s="8">
        <v>1.58</v>
      </c>
      <c r="E59" s="12">
        <v>24</v>
      </c>
      <c r="F59" s="8">
        <v>1.64</v>
      </c>
      <c r="G59" s="12">
        <v>22</v>
      </c>
      <c r="H59" s="8">
        <v>1.52</v>
      </c>
      <c r="I59" s="12">
        <v>0</v>
      </c>
    </row>
    <row r="60" spans="2:9" ht="15" customHeight="1" x14ac:dyDescent="0.2">
      <c r="B60" t="s">
        <v>125</v>
      </c>
      <c r="C60" s="12">
        <v>45</v>
      </c>
      <c r="D60" s="8">
        <v>1.55</v>
      </c>
      <c r="E60" s="12">
        <v>31</v>
      </c>
      <c r="F60" s="8">
        <v>2.12</v>
      </c>
      <c r="G60" s="12">
        <v>14</v>
      </c>
      <c r="H60" s="8">
        <v>0.97</v>
      </c>
      <c r="I60" s="12">
        <v>0</v>
      </c>
    </row>
    <row r="61" spans="2:9" ht="15" customHeight="1" x14ac:dyDescent="0.2">
      <c r="B61" t="s">
        <v>151</v>
      </c>
      <c r="C61" s="12">
        <v>45</v>
      </c>
      <c r="D61" s="8">
        <v>1.55</v>
      </c>
      <c r="E61" s="12">
        <v>31</v>
      </c>
      <c r="F61" s="8">
        <v>2.12</v>
      </c>
      <c r="G61" s="12">
        <v>14</v>
      </c>
      <c r="H61" s="8">
        <v>0.97</v>
      </c>
      <c r="I61" s="12">
        <v>0</v>
      </c>
    </row>
    <row r="62" spans="2:9" ht="15" customHeight="1" x14ac:dyDescent="0.2">
      <c r="B62" t="s">
        <v>143</v>
      </c>
      <c r="C62" s="12">
        <v>45</v>
      </c>
      <c r="D62" s="8">
        <v>1.55</v>
      </c>
      <c r="E62" s="12">
        <v>3</v>
      </c>
      <c r="F62" s="8">
        <v>0.21</v>
      </c>
      <c r="G62" s="12">
        <v>42</v>
      </c>
      <c r="H62" s="8">
        <v>2.91</v>
      </c>
      <c r="I62" s="12">
        <v>0</v>
      </c>
    </row>
    <row r="63" spans="2:9" ht="15" customHeight="1" x14ac:dyDescent="0.2">
      <c r="B63" t="s">
        <v>145</v>
      </c>
      <c r="C63" s="12">
        <v>45</v>
      </c>
      <c r="D63" s="8">
        <v>1.55</v>
      </c>
      <c r="E63" s="12">
        <v>42</v>
      </c>
      <c r="F63" s="8">
        <v>2.87</v>
      </c>
      <c r="G63" s="12">
        <v>3</v>
      </c>
      <c r="H63" s="8">
        <v>0.21</v>
      </c>
      <c r="I63" s="12">
        <v>0</v>
      </c>
    </row>
    <row r="64" spans="2:9" ht="15" customHeight="1" x14ac:dyDescent="0.2">
      <c r="B64" t="s">
        <v>131</v>
      </c>
      <c r="C64" s="12">
        <v>42</v>
      </c>
      <c r="D64" s="8">
        <v>1.44</v>
      </c>
      <c r="E64" s="12">
        <v>3</v>
      </c>
      <c r="F64" s="8">
        <v>0.21</v>
      </c>
      <c r="G64" s="12">
        <v>39</v>
      </c>
      <c r="H64" s="8">
        <v>2.7</v>
      </c>
      <c r="I64" s="12">
        <v>0</v>
      </c>
    </row>
    <row r="65" spans="2:9" ht="15" customHeight="1" x14ac:dyDescent="0.2">
      <c r="B65" t="s">
        <v>150</v>
      </c>
      <c r="C65" s="12">
        <v>40</v>
      </c>
      <c r="D65" s="8">
        <v>1.37</v>
      </c>
      <c r="E65" s="12">
        <v>10</v>
      </c>
      <c r="F65" s="8">
        <v>0.68</v>
      </c>
      <c r="G65" s="12">
        <v>30</v>
      </c>
      <c r="H65" s="8">
        <v>2.08</v>
      </c>
      <c r="I65" s="12">
        <v>0</v>
      </c>
    </row>
    <row r="66" spans="2:9" ht="15" customHeight="1" x14ac:dyDescent="0.2">
      <c r="B66" t="s">
        <v>124</v>
      </c>
      <c r="C66" s="12">
        <v>39</v>
      </c>
      <c r="D66" s="8">
        <v>1.34</v>
      </c>
      <c r="E66" s="12">
        <v>8</v>
      </c>
      <c r="F66" s="8">
        <v>0.55000000000000004</v>
      </c>
      <c r="G66" s="12">
        <v>31</v>
      </c>
      <c r="H66" s="8">
        <v>2.15</v>
      </c>
      <c r="I66" s="12">
        <v>0</v>
      </c>
    </row>
    <row r="68" spans="2:9" ht="15" customHeight="1" x14ac:dyDescent="0.2">
      <c r="B68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8786-8CE4-49B4-8AC1-5C6CEA699391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222</v>
      </c>
    </row>
    <row r="4" spans="2:9" ht="33" customHeight="1" x14ac:dyDescent="0.2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2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52</v>
      </c>
      <c r="C6" s="12">
        <v>332</v>
      </c>
      <c r="D6" s="8">
        <v>9.07</v>
      </c>
      <c r="E6" s="12">
        <v>64</v>
      </c>
      <c r="F6" s="8">
        <v>3.17</v>
      </c>
      <c r="G6" s="12">
        <v>268</v>
      </c>
      <c r="H6" s="8">
        <v>16.36</v>
      </c>
      <c r="I6" s="12">
        <v>0</v>
      </c>
    </row>
    <row r="7" spans="2:9" ht="15" customHeight="1" x14ac:dyDescent="0.2">
      <c r="B7" t="s">
        <v>53</v>
      </c>
      <c r="C7" s="12">
        <v>373</v>
      </c>
      <c r="D7" s="8">
        <v>10.19</v>
      </c>
      <c r="E7" s="12">
        <v>118</v>
      </c>
      <c r="F7" s="8">
        <v>5.85</v>
      </c>
      <c r="G7" s="12">
        <v>255</v>
      </c>
      <c r="H7" s="8">
        <v>15.57</v>
      </c>
      <c r="I7" s="12">
        <v>0</v>
      </c>
    </row>
    <row r="8" spans="2:9" ht="15" customHeight="1" x14ac:dyDescent="0.2">
      <c r="B8" t="s">
        <v>54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0.12</v>
      </c>
      <c r="I8" s="12">
        <v>0</v>
      </c>
    </row>
    <row r="9" spans="2:9" ht="15" customHeight="1" x14ac:dyDescent="0.2">
      <c r="B9" t="s">
        <v>55</v>
      </c>
      <c r="C9" s="12">
        <v>33</v>
      </c>
      <c r="D9" s="8">
        <v>0.9</v>
      </c>
      <c r="E9" s="12">
        <v>4</v>
      </c>
      <c r="F9" s="8">
        <v>0.2</v>
      </c>
      <c r="G9" s="12">
        <v>29</v>
      </c>
      <c r="H9" s="8">
        <v>1.77</v>
      </c>
      <c r="I9" s="12">
        <v>0</v>
      </c>
    </row>
    <row r="10" spans="2:9" ht="15" customHeight="1" x14ac:dyDescent="0.2">
      <c r="B10" t="s">
        <v>56</v>
      </c>
      <c r="C10" s="12">
        <v>40</v>
      </c>
      <c r="D10" s="8">
        <v>1.0900000000000001</v>
      </c>
      <c r="E10" s="12">
        <v>6</v>
      </c>
      <c r="F10" s="8">
        <v>0.3</v>
      </c>
      <c r="G10" s="12">
        <v>34</v>
      </c>
      <c r="H10" s="8">
        <v>2.08</v>
      </c>
      <c r="I10" s="12">
        <v>0</v>
      </c>
    </row>
    <row r="11" spans="2:9" ht="15" customHeight="1" x14ac:dyDescent="0.2">
      <c r="B11" t="s">
        <v>57</v>
      </c>
      <c r="C11" s="12">
        <v>963</v>
      </c>
      <c r="D11" s="8">
        <v>26.3</v>
      </c>
      <c r="E11" s="12">
        <v>506</v>
      </c>
      <c r="F11" s="8">
        <v>25.1</v>
      </c>
      <c r="G11" s="12">
        <v>457</v>
      </c>
      <c r="H11" s="8">
        <v>27.9</v>
      </c>
      <c r="I11" s="12">
        <v>0</v>
      </c>
    </row>
    <row r="12" spans="2:9" ht="15" customHeight="1" x14ac:dyDescent="0.2">
      <c r="B12" t="s">
        <v>58</v>
      </c>
      <c r="C12" s="12">
        <v>14</v>
      </c>
      <c r="D12" s="8">
        <v>0.38</v>
      </c>
      <c r="E12" s="12">
        <v>2</v>
      </c>
      <c r="F12" s="8">
        <v>0.1</v>
      </c>
      <c r="G12" s="12">
        <v>12</v>
      </c>
      <c r="H12" s="8">
        <v>0.73</v>
      </c>
      <c r="I12" s="12">
        <v>0</v>
      </c>
    </row>
    <row r="13" spans="2:9" ht="15" customHeight="1" x14ac:dyDescent="0.2">
      <c r="B13" t="s">
        <v>59</v>
      </c>
      <c r="C13" s="12">
        <v>424</v>
      </c>
      <c r="D13" s="8">
        <v>11.58</v>
      </c>
      <c r="E13" s="12">
        <v>163</v>
      </c>
      <c r="F13" s="8">
        <v>8.09</v>
      </c>
      <c r="G13" s="12">
        <v>260</v>
      </c>
      <c r="H13" s="8">
        <v>15.87</v>
      </c>
      <c r="I13" s="12">
        <v>1</v>
      </c>
    </row>
    <row r="14" spans="2:9" ht="15" customHeight="1" x14ac:dyDescent="0.2">
      <c r="B14" t="s">
        <v>60</v>
      </c>
      <c r="C14" s="12">
        <v>157</v>
      </c>
      <c r="D14" s="8">
        <v>4.29</v>
      </c>
      <c r="E14" s="12">
        <v>95</v>
      </c>
      <c r="F14" s="8">
        <v>4.71</v>
      </c>
      <c r="G14" s="12">
        <v>61</v>
      </c>
      <c r="H14" s="8">
        <v>3.72</v>
      </c>
      <c r="I14" s="12">
        <v>0</v>
      </c>
    </row>
    <row r="15" spans="2:9" ht="15" customHeight="1" x14ac:dyDescent="0.2">
      <c r="B15" t="s">
        <v>61</v>
      </c>
      <c r="C15" s="12">
        <v>674</v>
      </c>
      <c r="D15" s="8">
        <v>18.41</v>
      </c>
      <c r="E15" s="12">
        <v>615</v>
      </c>
      <c r="F15" s="8">
        <v>30.51</v>
      </c>
      <c r="G15" s="12">
        <v>59</v>
      </c>
      <c r="H15" s="8">
        <v>3.6</v>
      </c>
      <c r="I15" s="12">
        <v>0</v>
      </c>
    </row>
    <row r="16" spans="2:9" ht="15" customHeight="1" x14ac:dyDescent="0.2">
      <c r="B16" t="s">
        <v>62</v>
      </c>
      <c r="C16" s="12">
        <v>330</v>
      </c>
      <c r="D16" s="8">
        <v>9.01</v>
      </c>
      <c r="E16" s="12">
        <v>262</v>
      </c>
      <c r="F16" s="8">
        <v>13</v>
      </c>
      <c r="G16" s="12">
        <v>67</v>
      </c>
      <c r="H16" s="8">
        <v>4.09</v>
      </c>
      <c r="I16" s="12">
        <v>1</v>
      </c>
    </row>
    <row r="17" spans="2:9" ht="15" customHeight="1" x14ac:dyDescent="0.2">
      <c r="B17" t="s">
        <v>63</v>
      </c>
      <c r="C17" s="12">
        <v>59</v>
      </c>
      <c r="D17" s="8">
        <v>1.61</v>
      </c>
      <c r="E17" s="12">
        <v>48</v>
      </c>
      <c r="F17" s="8">
        <v>2.38</v>
      </c>
      <c r="G17" s="12">
        <v>10</v>
      </c>
      <c r="H17" s="8">
        <v>0.61</v>
      </c>
      <c r="I17" s="12">
        <v>1</v>
      </c>
    </row>
    <row r="18" spans="2:9" ht="15" customHeight="1" x14ac:dyDescent="0.2">
      <c r="B18" t="s">
        <v>64</v>
      </c>
      <c r="C18" s="12">
        <v>157</v>
      </c>
      <c r="D18" s="8">
        <v>4.29</v>
      </c>
      <c r="E18" s="12">
        <v>97</v>
      </c>
      <c r="F18" s="8">
        <v>4.8099999999999996</v>
      </c>
      <c r="G18" s="12">
        <v>59</v>
      </c>
      <c r="H18" s="8">
        <v>3.6</v>
      </c>
      <c r="I18" s="12">
        <v>0</v>
      </c>
    </row>
    <row r="19" spans="2:9" ht="15" customHeight="1" x14ac:dyDescent="0.2">
      <c r="B19" t="s">
        <v>65</v>
      </c>
      <c r="C19" s="12">
        <v>104</v>
      </c>
      <c r="D19" s="8">
        <v>2.84</v>
      </c>
      <c r="E19" s="12">
        <v>36</v>
      </c>
      <c r="F19" s="8">
        <v>1.79</v>
      </c>
      <c r="G19" s="12">
        <v>65</v>
      </c>
      <c r="H19" s="8">
        <v>3.97</v>
      </c>
      <c r="I19" s="12">
        <v>2</v>
      </c>
    </row>
    <row r="20" spans="2:9" ht="15" customHeight="1" x14ac:dyDescent="0.2">
      <c r="B20" s="9" t="s">
        <v>215</v>
      </c>
      <c r="C20" s="12">
        <f>SUM(LTBL_28105[総数／事業所数])</f>
        <v>3662</v>
      </c>
      <c r="E20" s="12">
        <f>SUBTOTAL(109,LTBL_28105[個人／事業所数])</f>
        <v>2016</v>
      </c>
      <c r="G20" s="12">
        <f>SUBTOTAL(109,LTBL_28105[法人／事業所数])</f>
        <v>1638</v>
      </c>
      <c r="I20" s="12">
        <f>SUBTOTAL(109,LTBL_28105[法人以外の団体／事業所数])</f>
        <v>5</v>
      </c>
    </row>
    <row r="21" spans="2:9" ht="15" customHeight="1" x14ac:dyDescent="0.2">
      <c r="E21" s="11">
        <f>LTBL_28105[[#Totals],[個人／事業所数]]/LTBL_28105[[#Totals],[総数／事業所数]]</f>
        <v>0.5505188421627526</v>
      </c>
      <c r="G21" s="11">
        <f>LTBL_28105[[#Totals],[法人／事業所数]]/LTBL_28105[[#Totals],[総数／事業所数]]</f>
        <v>0.44729655925723649</v>
      </c>
      <c r="I21" s="11">
        <f>LTBL_28105[[#Totals],[法人以外の団体／事業所数]]/LTBL_28105[[#Totals],[総数／事業所数]]</f>
        <v>1.3653741125068269E-3</v>
      </c>
    </row>
    <row r="23" spans="2:9" ht="33" customHeight="1" x14ac:dyDescent="0.2">
      <c r="B23" t="s">
        <v>216</v>
      </c>
      <c r="C23" s="10" t="s">
        <v>67</v>
      </c>
      <c r="D23" s="10" t="s">
        <v>68</v>
      </c>
      <c r="E23" s="10" t="s">
        <v>69</v>
      </c>
      <c r="F23" s="10" t="s">
        <v>70</v>
      </c>
      <c r="G23" s="10" t="s">
        <v>71</v>
      </c>
      <c r="H23" s="10" t="s">
        <v>72</v>
      </c>
      <c r="I23" s="10" t="s">
        <v>73</v>
      </c>
    </row>
    <row r="24" spans="2:9" ht="15" customHeight="1" x14ac:dyDescent="0.2">
      <c r="B24" t="s">
        <v>88</v>
      </c>
      <c r="C24" s="12">
        <v>645</v>
      </c>
      <c r="D24" s="8">
        <v>17.61</v>
      </c>
      <c r="E24" s="12">
        <v>597</v>
      </c>
      <c r="F24" s="8">
        <v>29.61</v>
      </c>
      <c r="G24" s="12">
        <v>48</v>
      </c>
      <c r="H24" s="8">
        <v>2.93</v>
      </c>
      <c r="I24" s="12">
        <v>0</v>
      </c>
    </row>
    <row r="25" spans="2:9" ht="15" customHeight="1" x14ac:dyDescent="0.2">
      <c r="B25" t="s">
        <v>85</v>
      </c>
      <c r="C25" s="12">
        <v>335</v>
      </c>
      <c r="D25" s="8">
        <v>9.15</v>
      </c>
      <c r="E25" s="12">
        <v>150</v>
      </c>
      <c r="F25" s="8">
        <v>7.44</v>
      </c>
      <c r="G25" s="12">
        <v>184</v>
      </c>
      <c r="H25" s="8">
        <v>11.23</v>
      </c>
      <c r="I25" s="12">
        <v>1</v>
      </c>
    </row>
    <row r="26" spans="2:9" ht="15" customHeight="1" x14ac:dyDescent="0.2">
      <c r="B26" t="s">
        <v>89</v>
      </c>
      <c r="C26" s="12">
        <v>272</v>
      </c>
      <c r="D26" s="8">
        <v>7.43</v>
      </c>
      <c r="E26" s="12">
        <v>234</v>
      </c>
      <c r="F26" s="8">
        <v>11.61</v>
      </c>
      <c r="G26" s="12">
        <v>38</v>
      </c>
      <c r="H26" s="8">
        <v>2.3199999999999998</v>
      </c>
      <c r="I26" s="12">
        <v>0</v>
      </c>
    </row>
    <row r="27" spans="2:9" ht="15" customHeight="1" x14ac:dyDescent="0.2">
      <c r="B27" t="s">
        <v>81</v>
      </c>
      <c r="C27" s="12">
        <v>244</v>
      </c>
      <c r="D27" s="8">
        <v>6.66</v>
      </c>
      <c r="E27" s="12">
        <v>186</v>
      </c>
      <c r="F27" s="8">
        <v>9.23</v>
      </c>
      <c r="G27" s="12">
        <v>58</v>
      </c>
      <c r="H27" s="8">
        <v>3.54</v>
      </c>
      <c r="I27" s="12">
        <v>0</v>
      </c>
    </row>
    <row r="28" spans="2:9" ht="15" customHeight="1" x14ac:dyDescent="0.2">
      <c r="B28" t="s">
        <v>83</v>
      </c>
      <c r="C28" s="12">
        <v>238</v>
      </c>
      <c r="D28" s="8">
        <v>6.5</v>
      </c>
      <c r="E28" s="12">
        <v>140</v>
      </c>
      <c r="F28" s="8">
        <v>6.94</v>
      </c>
      <c r="G28" s="12">
        <v>98</v>
      </c>
      <c r="H28" s="8">
        <v>5.98</v>
      </c>
      <c r="I28" s="12">
        <v>0</v>
      </c>
    </row>
    <row r="29" spans="2:9" ht="15" customHeight="1" x14ac:dyDescent="0.2">
      <c r="B29" t="s">
        <v>74</v>
      </c>
      <c r="C29" s="12">
        <v>123</v>
      </c>
      <c r="D29" s="8">
        <v>3.36</v>
      </c>
      <c r="E29" s="12">
        <v>26</v>
      </c>
      <c r="F29" s="8">
        <v>1.29</v>
      </c>
      <c r="G29" s="12">
        <v>97</v>
      </c>
      <c r="H29" s="8">
        <v>5.92</v>
      </c>
      <c r="I29" s="12">
        <v>0</v>
      </c>
    </row>
    <row r="30" spans="2:9" ht="15" customHeight="1" x14ac:dyDescent="0.2">
      <c r="B30" t="s">
        <v>76</v>
      </c>
      <c r="C30" s="12">
        <v>107</v>
      </c>
      <c r="D30" s="8">
        <v>2.92</v>
      </c>
      <c r="E30" s="12">
        <v>18</v>
      </c>
      <c r="F30" s="8">
        <v>0.89</v>
      </c>
      <c r="G30" s="12">
        <v>89</v>
      </c>
      <c r="H30" s="8">
        <v>5.43</v>
      </c>
      <c r="I30" s="12">
        <v>0</v>
      </c>
    </row>
    <row r="31" spans="2:9" ht="15" customHeight="1" x14ac:dyDescent="0.2">
      <c r="B31" t="s">
        <v>92</v>
      </c>
      <c r="C31" s="12">
        <v>107</v>
      </c>
      <c r="D31" s="8">
        <v>2.92</v>
      </c>
      <c r="E31" s="12">
        <v>96</v>
      </c>
      <c r="F31" s="8">
        <v>4.76</v>
      </c>
      <c r="G31" s="12">
        <v>11</v>
      </c>
      <c r="H31" s="8">
        <v>0.67</v>
      </c>
      <c r="I31" s="12">
        <v>0</v>
      </c>
    </row>
    <row r="32" spans="2:9" ht="15" customHeight="1" x14ac:dyDescent="0.2">
      <c r="B32" t="s">
        <v>80</v>
      </c>
      <c r="C32" s="12">
        <v>104</v>
      </c>
      <c r="D32" s="8">
        <v>2.84</v>
      </c>
      <c r="E32" s="12">
        <v>74</v>
      </c>
      <c r="F32" s="8">
        <v>3.67</v>
      </c>
      <c r="G32" s="12">
        <v>30</v>
      </c>
      <c r="H32" s="8">
        <v>1.83</v>
      </c>
      <c r="I32" s="12">
        <v>0</v>
      </c>
    </row>
    <row r="33" spans="2:9" ht="15" customHeight="1" x14ac:dyDescent="0.2">
      <c r="B33" t="s">
        <v>75</v>
      </c>
      <c r="C33" s="12">
        <v>102</v>
      </c>
      <c r="D33" s="8">
        <v>2.79</v>
      </c>
      <c r="E33" s="12">
        <v>20</v>
      </c>
      <c r="F33" s="8">
        <v>0.99</v>
      </c>
      <c r="G33" s="12">
        <v>82</v>
      </c>
      <c r="H33" s="8">
        <v>5.01</v>
      </c>
      <c r="I33" s="12">
        <v>0</v>
      </c>
    </row>
    <row r="34" spans="2:9" ht="15" customHeight="1" x14ac:dyDescent="0.2">
      <c r="B34" t="s">
        <v>86</v>
      </c>
      <c r="C34" s="12">
        <v>96</v>
      </c>
      <c r="D34" s="8">
        <v>2.62</v>
      </c>
      <c r="E34" s="12">
        <v>72</v>
      </c>
      <c r="F34" s="8">
        <v>3.57</v>
      </c>
      <c r="G34" s="12">
        <v>24</v>
      </c>
      <c r="H34" s="8">
        <v>1.47</v>
      </c>
      <c r="I34" s="12">
        <v>0</v>
      </c>
    </row>
    <row r="35" spans="2:9" ht="15" customHeight="1" x14ac:dyDescent="0.2">
      <c r="B35" t="s">
        <v>78</v>
      </c>
      <c r="C35" s="12">
        <v>79</v>
      </c>
      <c r="D35" s="8">
        <v>2.16</v>
      </c>
      <c r="E35" s="12">
        <v>9</v>
      </c>
      <c r="F35" s="8">
        <v>0.45</v>
      </c>
      <c r="G35" s="12">
        <v>70</v>
      </c>
      <c r="H35" s="8">
        <v>4.2699999999999996</v>
      </c>
      <c r="I35" s="12">
        <v>0</v>
      </c>
    </row>
    <row r="36" spans="2:9" ht="15" customHeight="1" x14ac:dyDescent="0.2">
      <c r="B36" t="s">
        <v>82</v>
      </c>
      <c r="C36" s="12">
        <v>74</v>
      </c>
      <c r="D36" s="8">
        <v>2.02</v>
      </c>
      <c r="E36" s="12">
        <v>49</v>
      </c>
      <c r="F36" s="8">
        <v>2.4300000000000002</v>
      </c>
      <c r="G36" s="12">
        <v>25</v>
      </c>
      <c r="H36" s="8">
        <v>1.53</v>
      </c>
      <c r="I36" s="12">
        <v>0</v>
      </c>
    </row>
    <row r="37" spans="2:9" ht="15" customHeight="1" x14ac:dyDescent="0.2">
      <c r="B37" t="s">
        <v>95</v>
      </c>
      <c r="C37" s="12">
        <v>70</v>
      </c>
      <c r="D37" s="8">
        <v>1.91</v>
      </c>
      <c r="E37" s="12">
        <v>10</v>
      </c>
      <c r="F37" s="8">
        <v>0.5</v>
      </c>
      <c r="G37" s="12">
        <v>60</v>
      </c>
      <c r="H37" s="8">
        <v>3.66</v>
      </c>
      <c r="I37" s="12">
        <v>0</v>
      </c>
    </row>
    <row r="38" spans="2:9" ht="15" customHeight="1" x14ac:dyDescent="0.2">
      <c r="B38" t="s">
        <v>84</v>
      </c>
      <c r="C38" s="12">
        <v>69</v>
      </c>
      <c r="D38" s="8">
        <v>1.88</v>
      </c>
      <c r="E38" s="12">
        <v>9</v>
      </c>
      <c r="F38" s="8">
        <v>0.45</v>
      </c>
      <c r="G38" s="12">
        <v>60</v>
      </c>
      <c r="H38" s="8">
        <v>3.66</v>
      </c>
      <c r="I38" s="12">
        <v>0</v>
      </c>
    </row>
    <row r="39" spans="2:9" ht="15" customHeight="1" x14ac:dyDescent="0.2">
      <c r="B39" t="s">
        <v>91</v>
      </c>
      <c r="C39" s="12">
        <v>59</v>
      </c>
      <c r="D39" s="8">
        <v>1.61</v>
      </c>
      <c r="E39" s="12">
        <v>48</v>
      </c>
      <c r="F39" s="8">
        <v>2.38</v>
      </c>
      <c r="G39" s="12">
        <v>10</v>
      </c>
      <c r="H39" s="8">
        <v>0.61</v>
      </c>
      <c r="I39" s="12">
        <v>1</v>
      </c>
    </row>
    <row r="40" spans="2:9" ht="15" customHeight="1" x14ac:dyDescent="0.2">
      <c r="B40" t="s">
        <v>97</v>
      </c>
      <c r="C40" s="12">
        <v>58</v>
      </c>
      <c r="D40" s="8">
        <v>1.58</v>
      </c>
      <c r="E40" s="12">
        <v>14</v>
      </c>
      <c r="F40" s="8">
        <v>0.69</v>
      </c>
      <c r="G40" s="12">
        <v>44</v>
      </c>
      <c r="H40" s="8">
        <v>2.69</v>
      </c>
      <c r="I40" s="12">
        <v>0</v>
      </c>
    </row>
    <row r="41" spans="2:9" ht="15" customHeight="1" x14ac:dyDescent="0.2">
      <c r="B41" t="s">
        <v>79</v>
      </c>
      <c r="C41" s="12">
        <v>57</v>
      </c>
      <c r="D41" s="8">
        <v>1.56</v>
      </c>
      <c r="E41" s="12">
        <v>18</v>
      </c>
      <c r="F41" s="8">
        <v>0.89</v>
      </c>
      <c r="G41" s="12">
        <v>39</v>
      </c>
      <c r="H41" s="8">
        <v>2.38</v>
      </c>
      <c r="I41" s="12">
        <v>0</v>
      </c>
    </row>
    <row r="42" spans="2:9" ht="15" customHeight="1" x14ac:dyDescent="0.2">
      <c r="B42" t="s">
        <v>87</v>
      </c>
      <c r="C42" s="12">
        <v>53</v>
      </c>
      <c r="D42" s="8">
        <v>1.45</v>
      </c>
      <c r="E42" s="12">
        <v>23</v>
      </c>
      <c r="F42" s="8">
        <v>1.1399999999999999</v>
      </c>
      <c r="G42" s="12">
        <v>29</v>
      </c>
      <c r="H42" s="8">
        <v>1.77</v>
      </c>
      <c r="I42" s="12">
        <v>0</v>
      </c>
    </row>
    <row r="43" spans="2:9" ht="15" customHeight="1" x14ac:dyDescent="0.2">
      <c r="B43" t="s">
        <v>96</v>
      </c>
      <c r="C43" s="12">
        <v>50</v>
      </c>
      <c r="D43" s="8">
        <v>1.37</v>
      </c>
      <c r="E43" s="12">
        <v>16</v>
      </c>
      <c r="F43" s="8">
        <v>0.79</v>
      </c>
      <c r="G43" s="12">
        <v>34</v>
      </c>
      <c r="H43" s="8">
        <v>2.08</v>
      </c>
      <c r="I43" s="12">
        <v>0</v>
      </c>
    </row>
    <row r="44" spans="2:9" ht="15" customHeight="1" x14ac:dyDescent="0.2">
      <c r="B44" t="s">
        <v>93</v>
      </c>
      <c r="C44" s="12">
        <v>50</v>
      </c>
      <c r="D44" s="8">
        <v>1.37</v>
      </c>
      <c r="E44" s="12">
        <v>1</v>
      </c>
      <c r="F44" s="8">
        <v>0.05</v>
      </c>
      <c r="G44" s="12">
        <v>48</v>
      </c>
      <c r="H44" s="8">
        <v>2.93</v>
      </c>
      <c r="I44" s="12">
        <v>0</v>
      </c>
    </row>
    <row r="47" spans="2:9" ht="33" customHeight="1" x14ac:dyDescent="0.2">
      <c r="B47" t="s">
        <v>217</v>
      </c>
      <c r="C47" s="10" t="s">
        <v>67</v>
      </c>
      <c r="D47" s="10" t="s">
        <v>68</v>
      </c>
      <c r="E47" s="10" t="s">
        <v>69</v>
      </c>
      <c r="F47" s="10" t="s">
        <v>70</v>
      </c>
      <c r="G47" s="10" t="s">
        <v>71</v>
      </c>
      <c r="H47" s="10" t="s">
        <v>72</v>
      </c>
      <c r="I47" s="10" t="s">
        <v>73</v>
      </c>
    </row>
    <row r="48" spans="2:9" ht="15" customHeight="1" x14ac:dyDescent="0.2">
      <c r="B48" t="s">
        <v>132</v>
      </c>
      <c r="C48" s="12">
        <v>187</v>
      </c>
      <c r="D48" s="8">
        <v>5.1100000000000003</v>
      </c>
      <c r="E48" s="12">
        <v>90</v>
      </c>
      <c r="F48" s="8">
        <v>4.46</v>
      </c>
      <c r="G48" s="12">
        <v>97</v>
      </c>
      <c r="H48" s="8">
        <v>5.92</v>
      </c>
      <c r="I48" s="12">
        <v>0</v>
      </c>
    </row>
    <row r="49" spans="2:9" ht="15" customHeight="1" x14ac:dyDescent="0.2">
      <c r="B49" t="s">
        <v>136</v>
      </c>
      <c r="C49" s="12">
        <v>149</v>
      </c>
      <c r="D49" s="8">
        <v>4.07</v>
      </c>
      <c r="E49" s="12">
        <v>142</v>
      </c>
      <c r="F49" s="8">
        <v>7.04</v>
      </c>
      <c r="G49" s="12">
        <v>7</v>
      </c>
      <c r="H49" s="8">
        <v>0.43</v>
      </c>
      <c r="I49" s="12">
        <v>0</v>
      </c>
    </row>
    <row r="50" spans="2:9" ht="15" customHeight="1" x14ac:dyDescent="0.2">
      <c r="B50" t="s">
        <v>134</v>
      </c>
      <c r="C50" s="12">
        <v>141</v>
      </c>
      <c r="D50" s="8">
        <v>3.85</v>
      </c>
      <c r="E50" s="12">
        <v>132</v>
      </c>
      <c r="F50" s="8">
        <v>6.55</v>
      </c>
      <c r="G50" s="12">
        <v>9</v>
      </c>
      <c r="H50" s="8">
        <v>0.55000000000000004</v>
      </c>
      <c r="I50" s="12">
        <v>0</v>
      </c>
    </row>
    <row r="51" spans="2:9" ht="15" customHeight="1" x14ac:dyDescent="0.2">
      <c r="B51" t="s">
        <v>133</v>
      </c>
      <c r="C51" s="12">
        <v>126</v>
      </c>
      <c r="D51" s="8">
        <v>3.44</v>
      </c>
      <c r="E51" s="12">
        <v>107</v>
      </c>
      <c r="F51" s="8">
        <v>5.31</v>
      </c>
      <c r="G51" s="12">
        <v>19</v>
      </c>
      <c r="H51" s="8">
        <v>1.1599999999999999</v>
      </c>
      <c r="I51" s="12">
        <v>0</v>
      </c>
    </row>
    <row r="52" spans="2:9" ht="15" customHeight="1" x14ac:dyDescent="0.2">
      <c r="B52" t="s">
        <v>138</v>
      </c>
      <c r="C52" s="12">
        <v>107</v>
      </c>
      <c r="D52" s="8">
        <v>2.92</v>
      </c>
      <c r="E52" s="12">
        <v>102</v>
      </c>
      <c r="F52" s="8">
        <v>5.0599999999999996</v>
      </c>
      <c r="G52" s="12">
        <v>5</v>
      </c>
      <c r="H52" s="8">
        <v>0.31</v>
      </c>
      <c r="I52" s="12">
        <v>0</v>
      </c>
    </row>
    <row r="53" spans="2:9" ht="15" customHeight="1" x14ac:dyDescent="0.2">
      <c r="B53" t="s">
        <v>129</v>
      </c>
      <c r="C53" s="12">
        <v>104</v>
      </c>
      <c r="D53" s="8">
        <v>2.84</v>
      </c>
      <c r="E53" s="12">
        <v>76</v>
      </c>
      <c r="F53" s="8">
        <v>3.77</v>
      </c>
      <c r="G53" s="12">
        <v>28</v>
      </c>
      <c r="H53" s="8">
        <v>1.71</v>
      </c>
      <c r="I53" s="12">
        <v>0</v>
      </c>
    </row>
    <row r="54" spans="2:9" ht="15" customHeight="1" x14ac:dyDescent="0.2">
      <c r="B54" t="s">
        <v>126</v>
      </c>
      <c r="C54" s="12">
        <v>97</v>
      </c>
      <c r="D54" s="8">
        <v>2.65</v>
      </c>
      <c r="E54" s="12">
        <v>73</v>
      </c>
      <c r="F54" s="8">
        <v>3.62</v>
      </c>
      <c r="G54" s="12">
        <v>24</v>
      </c>
      <c r="H54" s="8">
        <v>1.47</v>
      </c>
      <c r="I54" s="12">
        <v>0</v>
      </c>
    </row>
    <row r="55" spans="2:9" ht="15" customHeight="1" x14ac:dyDescent="0.2">
      <c r="B55" t="s">
        <v>135</v>
      </c>
      <c r="C55" s="12">
        <v>78</v>
      </c>
      <c r="D55" s="8">
        <v>2.13</v>
      </c>
      <c r="E55" s="12">
        <v>77</v>
      </c>
      <c r="F55" s="8">
        <v>3.82</v>
      </c>
      <c r="G55" s="12">
        <v>1</v>
      </c>
      <c r="H55" s="8">
        <v>0.06</v>
      </c>
      <c r="I55" s="12">
        <v>0</v>
      </c>
    </row>
    <row r="56" spans="2:9" ht="15" customHeight="1" x14ac:dyDescent="0.2">
      <c r="B56" t="s">
        <v>145</v>
      </c>
      <c r="C56" s="12">
        <v>76</v>
      </c>
      <c r="D56" s="8">
        <v>2.08</v>
      </c>
      <c r="E56" s="12">
        <v>69</v>
      </c>
      <c r="F56" s="8">
        <v>3.42</v>
      </c>
      <c r="G56" s="12">
        <v>7</v>
      </c>
      <c r="H56" s="8">
        <v>0.43</v>
      </c>
      <c r="I56" s="12">
        <v>0</v>
      </c>
    </row>
    <row r="57" spans="2:9" ht="15" customHeight="1" x14ac:dyDescent="0.2">
      <c r="B57" t="s">
        <v>137</v>
      </c>
      <c r="C57" s="12">
        <v>76</v>
      </c>
      <c r="D57" s="8">
        <v>2.08</v>
      </c>
      <c r="E57" s="12">
        <v>73</v>
      </c>
      <c r="F57" s="8">
        <v>3.62</v>
      </c>
      <c r="G57" s="12">
        <v>3</v>
      </c>
      <c r="H57" s="8">
        <v>0.18</v>
      </c>
      <c r="I57" s="12">
        <v>0</v>
      </c>
    </row>
    <row r="58" spans="2:9" ht="15" customHeight="1" x14ac:dyDescent="0.2">
      <c r="B58" t="s">
        <v>141</v>
      </c>
      <c r="C58" s="12">
        <v>75</v>
      </c>
      <c r="D58" s="8">
        <v>2.0499999999999998</v>
      </c>
      <c r="E58" s="12">
        <v>67</v>
      </c>
      <c r="F58" s="8">
        <v>3.32</v>
      </c>
      <c r="G58" s="12">
        <v>8</v>
      </c>
      <c r="H58" s="8">
        <v>0.49</v>
      </c>
      <c r="I58" s="12">
        <v>0</v>
      </c>
    </row>
    <row r="59" spans="2:9" ht="15" customHeight="1" x14ac:dyDescent="0.2">
      <c r="B59" t="s">
        <v>154</v>
      </c>
      <c r="C59" s="12">
        <v>60</v>
      </c>
      <c r="D59" s="8">
        <v>1.64</v>
      </c>
      <c r="E59" s="12">
        <v>50</v>
      </c>
      <c r="F59" s="8">
        <v>2.48</v>
      </c>
      <c r="G59" s="12">
        <v>10</v>
      </c>
      <c r="H59" s="8">
        <v>0.61</v>
      </c>
      <c r="I59" s="12">
        <v>0</v>
      </c>
    </row>
    <row r="60" spans="2:9" ht="15" customHeight="1" x14ac:dyDescent="0.2">
      <c r="B60" t="s">
        <v>142</v>
      </c>
      <c r="C60" s="12">
        <v>59</v>
      </c>
      <c r="D60" s="8">
        <v>1.61</v>
      </c>
      <c r="E60" s="12">
        <v>43</v>
      </c>
      <c r="F60" s="8">
        <v>2.13</v>
      </c>
      <c r="G60" s="12">
        <v>16</v>
      </c>
      <c r="H60" s="8">
        <v>0.98</v>
      </c>
      <c r="I60" s="12">
        <v>0</v>
      </c>
    </row>
    <row r="61" spans="2:9" ht="15" customHeight="1" x14ac:dyDescent="0.2">
      <c r="B61" t="s">
        <v>130</v>
      </c>
      <c r="C61" s="12">
        <v>54</v>
      </c>
      <c r="D61" s="8">
        <v>1.47</v>
      </c>
      <c r="E61" s="12">
        <v>8</v>
      </c>
      <c r="F61" s="8">
        <v>0.4</v>
      </c>
      <c r="G61" s="12">
        <v>46</v>
      </c>
      <c r="H61" s="8">
        <v>2.81</v>
      </c>
      <c r="I61" s="12">
        <v>0</v>
      </c>
    </row>
    <row r="62" spans="2:9" ht="15" customHeight="1" x14ac:dyDescent="0.2">
      <c r="B62" t="s">
        <v>146</v>
      </c>
      <c r="C62" s="12">
        <v>54</v>
      </c>
      <c r="D62" s="8">
        <v>1.47</v>
      </c>
      <c r="E62" s="12">
        <v>40</v>
      </c>
      <c r="F62" s="8">
        <v>1.98</v>
      </c>
      <c r="G62" s="12">
        <v>14</v>
      </c>
      <c r="H62" s="8">
        <v>0.85</v>
      </c>
      <c r="I62" s="12">
        <v>0</v>
      </c>
    </row>
    <row r="63" spans="2:9" ht="15" customHeight="1" x14ac:dyDescent="0.2">
      <c r="B63" t="s">
        <v>131</v>
      </c>
      <c r="C63" s="12">
        <v>52</v>
      </c>
      <c r="D63" s="8">
        <v>1.42</v>
      </c>
      <c r="E63" s="12">
        <v>10</v>
      </c>
      <c r="F63" s="8">
        <v>0.5</v>
      </c>
      <c r="G63" s="12">
        <v>42</v>
      </c>
      <c r="H63" s="8">
        <v>2.56</v>
      </c>
      <c r="I63" s="12">
        <v>0</v>
      </c>
    </row>
    <row r="64" spans="2:9" ht="15" customHeight="1" x14ac:dyDescent="0.2">
      <c r="B64" t="s">
        <v>124</v>
      </c>
      <c r="C64" s="12">
        <v>48</v>
      </c>
      <c r="D64" s="8">
        <v>1.31</v>
      </c>
      <c r="E64" s="12">
        <v>10</v>
      </c>
      <c r="F64" s="8">
        <v>0.5</v>
      </c>
      <c r="G64" s="12">
        <v>38</v>
      </c>
      <c r="H64" s="8">
        <v>2.3199999999999998</v>
      </c>
      <c r="I64" s="12">
        <v>0</v>
      </c>
    </row>
    <row r="65" spans="2:9" ht="15" customHeight="1" x14ac:dyDescent="0.2">
      <c r="B65" t="s">
        <v>128</v>
      </c>
      <c r="C65" s="12">
        <v>47</v>
      </c>
      <c r="D65" s="8">
        <v>1.28</v>
      </c>
      <c r="E65" s="12">
        <v>15</v>
      </c>
      <c r="F65" s="8">
        <v>0.74</v>
      </c>
      <c r="G65" s="12">
        <v>32</v>
      </c>
      <c r="H65" s="8">
        <v>1.95</v>
      </c>
      <c r="I65" s="12">
        <v>0</v>
      </c>
    </row>
    <row r="66" spans="2:9" ht="15" customHeight="1" x14ac:dyDescent="0.2">
      <c r="B66" t="s">
        <v>123</v>
      </c>
      <c r="C66" s="12">
        <v>45</v>
      </c>
      <c r="D66" s="8">
        <v>1.23</v>
      </c>
      <c r="E66" s="12">
        <v>7</v>
      </c>
      <c r="F66" s="8">
        <v>0.35</v>
      </c>
      <c r="G66" s="12">
        <v>38</v>
      </c>
      <c r="H66" s="8">
        <v>2.3199999999999998</v>
      </c>
      <c r="I66" s="12">
        <v>0</v>
      </c>
    </row>
    <row r="67" spans="2:9" ht="15" customHeight="1" x14ac:dyDescent="0.2">
      <c r="B67" t="s">
        <v>152</v>
      </c>
      <c r="C67" s="12">
        <v>43</v>
      </c>
      <c r="D67" s="8">
        <v>1.17</v>
      </c>
      <c r="E67" s="12">
        <v>13</v>
      </c>
      <c r="F67" s="8">
        <v>0.64</v>
      </c>
      <c r="G67" s="12">
        <v>30</v>
      </c>
      <c r="H67" s="8">
        <v>1.83</v>
      </c>
      <c r="I67" s="12">
        <v>0</v>
      </c>
    </row>
    <row r="68" spans="2:9" ht="15" customHeight="1" x14ac:dyDescent="0.2">
      <c r="B68" t="s">
        <v>153</v>
      </c>
      <c r="C68" s="12">
        <v>43</v>
      </c>
      <c r="D68" s="8">
        <v>1.17</v>
      </c>
      <c r="E68" s="12">
        <v>2</v>
      </c>
      <c r="F68" s="8">
        <v>0.1</v>
      </c>
      <c r="G68" s="12">
        <v>41</v>
      </c>
      <c r="H68" s="8">
        <v>2.5</v>
      </c>
      <c r="I68" s="12">
        <v>0</v>
      </c>
    </row>
    <row r="69" spans="2:9" ht="15" customHeight="1" x14ac:dyDescent="0.2">
      <c r="B69" t="s">
        <v>151</v>
      </c>
      <c r="C69" s="12">
        <v>43</v>
      </c>
      <c r="D69" s="8">
        <v>1.17</v>
      </c>
      <c r="E69" s="12">
        <v>29</v>
      </c>
      <c r="F69" s="8">
        <v>1.44</v>
      </c>
      <c r="G69" s="12">
        <v>14</v>
      </c>
      <c r="H69" s="8">
        <v>0.85</v>
      </c>
      <c r="I69" s="12">
        <v>0</v>
      </c>
    </row>
    <row r="71" spans="2:9" ht="15" customHeight="1" x14ac:dyDescent="0.2">
      <c r="B71" t="s">
        <v>218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55</vt:i4>
      </vt:variant>
      <vt:variant>
        <vt:lpstr>名前付き一覧</vt:lpstr>
      </vt:variant>
      <vt:variant>
        <vt:i4>3</vt:i4>
      </vt:variant>
    </vt:vector>
  </HeadingPairs>
  <TitlesOfParts>
    <vt:vector size="58" baseType="lpstr">
      <vt:lpstr>目次</vt:lpstr>
      <vt:lpstr>産業大分類</vt:lpstr>
      <vt:lpstr>産業中分類</vt:lpstr>
      <vt:lpstr>産業小分類</vt:lpstr>
      <vt:lpstr>兵庫県</vt:lpstr>
      <vt:lpstr>神戸市</vt:lpstr>
      <vt:lpstr>神戸市東灘区</vt:lpstr>
      <vt:lpstr>神戸市灘区</vt:lpstr>
      <vt:lpstr>神戸市兵庫区</vt:lpstr>
      <vt:lpstr>神戸市長田区</vt:lpstr>
      <vt:lpstr>神戸市須磨区</vt:lpstr>
      <vt:lpstr>神戸市垂水区</vt:lpstr>
      <vt:lpstr>神戸市北区</vt:lpstr>
      <vt:lpstr>神戸市中央区</vt:lpstr>
      <vt:lpstr>神戸市西区</vt:lpstr>
      <vt:lpstr>姫路市</vt:lpstr>
      <vt:lpstr>尼崎市</vt:lpstr>
      <vt:lpstr>明石市</vt:lpstr>
      <vt:lpstr>西宮市</vt:lpstr>
      <vt:lpstr>洲本市</vt:lpstr>
      <vt:lpstr>芦屋市</vt:lpstr>
      <vt:lpstr>伊丹市</vt:lpstr>
      <vt:lpstr>相生市</vt:lpstr>
      <vt:lpstr>豊岡市</vt:lpstr>
      <vt:lpstr>加古川市</vt:lpstr>
      <vt:lpstr>赤穂市</vt:lpstr>
      <vt:lpstr>西脇市</vt:lpstr>
      <vt:lpstr>宝塚市</vt:lpstr>
      <vt:lpstr>三木市</vt:lpstr>
      <vt:lpstr>高砂市</vt:lpstr>
      <vt:lpstr>川西市</vt:lpstr>
      <vt:lpstr>小野市</vt:lpstr>
      <vt:lpstr>三田市</vt:lpstr>
      <vt:lpstr>加西市</vt:lpstr>
      <vt:lpstr>丹波篠山市</vt:lpstr>
      <vt:lpstr>養父市</vt:lpstr>
      <vt:lpstr>丹波市</vt:lpstr>
      <vt:lpstr>南あわじ市</vt:lpstr>
      <vt:lpstr>朝来市</vt:lpstr>
      <vt:lpstr>淡路市</vt:lpstr>
      <vt:lpstr>宍粟市</vt:lpstr>
      <vt:lpstr>加東市</vt:lpstr>
      <vt:lpstr>たつの市</vt:lpstr>
      <vt:lpstr>川辺郡猪名川町</vt:lpstr>
      <vt:lpstr>多可郡多可町</vt:lpstr>
      <vt:lpstr>加古郡稲美町</vt:lpstr>
      <vt:lpstr>加古郡播磨町</vt:lpstr>
      <vt:lpstr>神崎郡市川町</vt:lpstr>
      <vt:lpstr>神崎郡福崎町</vt:lpstr>
      <vt:lpstr>神崎郡神河町</vt:lpstr>
      <vt:lpstr>揖保郡太子町</vt:lpstr>
      <vt:lpstr>赤穂郡上郡町</vt:lpstr>
      <vt:lpstr>佐用郡佐用町</vt:lpstr>
      <vt:lpstr>美方郡香美町</vt:lpstr>
      <vt:lpstr>美方郡新温泉町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2023-08-17T02:22:40Z</dcterms:created>
  <dcterms:modified xsi:type="dcterms:W3CDTF">2023-08-17T02:22:40Z</dcterms:modified>
</cp:coreProperties>
</file>